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C:\Users\Admin\Desktop\ĐTC 2026\Bản sửa ngày 17.12\26.12.2025\"/>
    </mc:Choice>
  </mc:AlternateContent>
  <xr:revisionPtr revIDLastSave="0" documentId="13_ncr:1_{859751A4-1E06-4ABC-9630-7C769E613D2E}" xr6:coauthVersionLast="47" xr6:coauthVersionMax="47" xr10:uidLastSave="{00000000-0000-0000-0000-000000000000}"/>
  <bookViews>
    <workbookView xWindow="-120" yWindow="-120" windowWidth="24240" windowHeight="13020" firstSheet="1" activeTab="1" xr2:uid="{00000000-000D-0000-FFFF-FFFF00000000}"/>
  </bookViews>
  <sheets>
    <sheet name="01" sheetId="6" state="hidden" r:id="rId1"/>
    <sheet name="PL 01" sheetId="5" r:id="rId2"/>
    <sheet name="PL 02" sheetId="18" r:id="rId3"/>
    <sheet name="PL 03" sheetId="19" r:id="rId4"/>
    <sheet name="PL 04" sheetId="20" r:id="rId5"/>
    <sheet name="PL 05" sheetId="27" r:id="rId6"/>
    <sheet name="PL 06" sheetId="7" r:id="rId7"/>
  </sheets>
  <externalReferences>
    <externalReference r:id="rId8"/>
  </externalReferences>
  <definedNames>
    <definedName name="______NCL100" localSheetId="2">#REF!</definedName>
    <definedName name="______NCL100" localSheetId="3">#REF!</definedName>
    <definedName name="______NCL100" localSheetId="4">#REF!</definedName>
    <definedName name="______NCL100" localSheetId="5">#REF!</definedName>
    <definedName name="______NCL100">#REF!</definedName>
    <definedName name="______NCL200" localSheetId="2">#REF!</definedName>
    <definedName name="______NCL200" localSheetId="3">#REF!</definedName>
    <definedName name="______NCL200" localSheetId="4">#REF!</definedName>
    <definedName name="______NCL200" localSheetId="5">#REF!</definedName>
    <definedName name="______NCL200">#REF!</definedName>
    <definedName name="______NCL250" localSheetId="2">#REF!</definedName>
    <definedName name="______NCL250" localSheetId="3">#REF!</definedName>
    <definedName name="______NCL250" localSheetId="4">#REF!</definedName>
    <definedName name="______NCL250" localSheetId="5">#REF!</definedName>
    <definedName name="______NCL250">#REF!</definedName>
    <definedName name="______nin190" localSheetId="2">#REF!</definedName>
    <definedName name="______nin190" localSheetId="3">#REF!</definedName>
    <definedName name="______nin190" localSheetId="4">#REF!</definedName>
    <definedName name="______nin190" localSheetId="5">#REF!</definedName>
    <definedName name="______nin190">#REF!</definedName>
    <definedName name="______SN3" localSheetId="2">#REF!</definedName>
    <definedName name="______SN3" localSheetId="3">#REF!</definedName>
    <definedName name="______SN3" localSheetId="4">#REF!</definedName>
    <definedName name="______SN3" localSheetId="5">#REF!</definedName>
    <definedName name="______SN3">#REF!</definedName>
    <definedName name="______TL3" localSheetId="2">#REF!</definedName>
    <definedName name="______TL3" localSheetId="3">#REF!</definedName>
    <definedName name="______TL3" localSheetId="4">#REF!</definedName>
    <definedName name="______TL3" localSheetId="5">#REF!</definedName>
    <definedName name="______TL3">#REF!</definedName>
    <definedName name="______tz593" localSheetId="2">#REF!</definedName>
    <definedName name="______tz593" localSheetId="3">#REF!</definedName>
    <definedName name="______tz593" localSheetId="4">#REF!</definedName>
    <definedName name="______tz593" localSheetId="5">#REF!</definedName>
    <definedName name="______tz593">#REF!</definedName>
    <definedName name="______VL100" localSheetId="2">#REF!</definedName>
    <definedName name="______VL100" localSheetId="3">#REF!</definedName>
    <definedName name="______VL100" localSheetId="4">#REF!</definedName>
    <definedName name="______VL100" localSheetId="5">#REF!</definedName>
    <definedName name="______VL100">#REF!</definedName>
    <definedName name="______VL200" localSheetId="2">#REF!</definedName>
    <definedName name="______VL200" localSheetId="3">#REF!</definedName>
    <definedName name="______VL200" localSheetId="4">#REF!</definedName>
    <definedName name="______VL200" localSheetId="5">#REF!</definedName>
    <definedName name="______VL200">#REF!</definedName>
    <definedName name="______VL250" localSheetId="2">#REF!</definedName>
    <definedName name="______VL250" localSheetId="3">#REF!</definedName>
    <definedName name="______VL250" localSheetId="4">#REF!</definedName>
    <definedName name="______VL250" localSheetId="5">#REF!</definedName>
    <definedName name="______VL250">#REF!</definedName>
    <definedName name="_____boi1" localSheetId="2">#REF!</definedName>
    <definedName name="_____boi1" localSheetId="3">#REF!</definedName>
    <definedName name="_____boi1" localSheetId="4">#REF!</definedName>
    <definedName name="_____boi1" localSheetId="5">#REF!</definedName>
    <definedName name="_____boi1">#REF!</definedName>
    <definedName name="_____boi2" localSheetId="2">#REF!</definedName>
    <definedName name="_____boi2" localSheetId="3">#REF!</definedName>
    <definedName name="_____boi2" localSheetId="4">#REF!</definedName>
    <definedName name="_____boi2" localSheetId="5">#REF!</definedName>
    <definedName name="_____boi2">#REF!</definedName>
    <definedName name="_____CON1" localSheetId="2">#REF!</definedName>
    <definedName name="_____CON1" localSheetId="3">#REF!</definedName>
    <definedName name="_____CON1" localSheetId="4">#REF!</definedName>
    <definedName name="_____CON1" localSheetId="5">#REF!</definedName>
    <definedName name="_____CON1">#REF!</definedName>
    <definedName name="_____CON2" localSheetId="2">#REF!</definedName>
    <definedName name="_____CON2" localSheetId="3">#REF!</definedName>
    <definedName name="_____CON2" localSheetId="4">#REF!</definedName>
    <definedName name="_____CON2" localSheetId="5">#REF!</definedName>
    <definedName name="_____CON2">#REF!</definedName>
    <definedName name="_____ddn400" localSheetId="2">#REF!</definedName>
    <definedName name="_____ddn400" localSheetId="3">#REF!</definedName>
    <definedName name="_____ddn400" localSheetId="4">#REF!</definedName>
    <definedName name="_____ddn400" localSheetId="5">#REF!</definedName>
    <definedName name="_____ddn400">#REF!</definedName>
    <definedName name="_____ddn600" localSheetId="2">#REF!</definedName>
    <definedName name="_____ddn600" localSheetId="3">#REF!</definedName>
    <definedName name="_____ddn600" localSheetId="4">#REF!</definedName>
    <definedName name="_____ddn600" localSheetId="5">#REF!</definedName>
    <definedName name="_____ddn600">#REF!</definedName>
    <definedName name="_____MAC12" localSheetId="2">#REF!</definedName>
    <definedName name="_____MAC12" localSheetId="3">#REF!</definedName>
    <definedName name="_____MAC12" localSheetId="4">#REF!</definedName>
    <definedName name="_____MAC12" localSheetId="5">#REF!</definedName>
    <definedName name="_____MAC12">#REF!</definedName>
    <definedName name="_____MAC46" localSheetId="2">#REF!</definedName>
    <definedName name="_____MAC46" localSheetId="3">#REF!</definedName>
    <definedName name="_____MAC46" localSheetId="4">#REF!</definedName>
    <definedName name="_____MAC46" localSheetId="5">#REF!</definedName>
    <definedName name="_____MAC46">#REF!</definedName>
    <definedName name="_____NET2" localSheetId="2">#REF!</definedName>
    <definedName name="_____NET2" localSheetId="3">#REF!</definedName>
    <definedName name="_____NET2" localSheetId="4">#REF!</definedName>
    <definedName name="_____NET2" localSheetId="5">#REF!</definedName>
    <definedName name="_____NET2">#REF!</definedName>
    <definedName name="_____sc1" localSheetId="2">#REF!</definedName>
    <definedName name="_____sc1" localSheetId="3">#REF!</definedName>
    <definedName name="_____sc1" localSheetId="4">#REF!</definedName>
    <definedName name="_____sc1" localSheetId="5">#REF!</definedName>
    <definedName name="_____sc1">#REF!</definedName>
    <definedName name="_____SC2" localSheetId="2">#REF!</definedName>
    <definedName name="_____SC2" localSheetId="3">#REF!</definedName>
    <definedName name="_____SC2" localSheetId="4">#REF!</definedName>
    <definedName name="_____SC2" localSheetId="5">#REF!</definedName>
    <definedName name="_____SC2">#REF!</definedName>
    <definedName name="_____sc3" localSheetId="2">#REF!</definedName>
    <definedName name="_____sc3" localSheetId="3">#REF!</definedName>
    <definedName name="_____sc3" localSheetId="4">#REF!</definedName>
    <definedName name="_____sc3" localSheetId="5">#REF!</definedName>
    <definedName name="_____sc3">#REF!</definedName>
    <definedName name="_____TL1" localSheetId="2">#REF!</definedName>
    <definedName name="_____TL1" localSheetId="3">#REF!</definedName>
    <definedName name="_____TL1" localSheetId="4">#REF!</definedName>
    <definedName name="_____TL1" localSheetId="5">#REF!</definedName>
    <definedName name="_____TL1">#REF!</definedName>
    <definedName name="_____TL2" localSheetId="2">#REF!</definedName>
    <definedName name="_____TL2" localSheetId="3">#REF!</definedName>
    <definedName name="_____TL2" localSheetId="4">#REF!</definedName>
    <definedName name="_____TL2" localSheetId="5">#REF!</definedName>
    <definedName name="_____TL2">#REF!</definedName>
    <definedName name="_____TLA120" localSheetId="2">#REF!</definedName>
    <definedName name="_____TLA120" localSheetId="3">#REF!</definedName>
    <definedName name="_____TLA120" localSheetId="4">#REF!</definedName>
    <definedName name="_____TLA120" localSheetId="5">#REF!</definedName>
    <definedName name="_____TLA120">#REF!</definedName>
    <definedName name="_____TLA35" localSheetId="2">#REF!</definedName>
    <definedName name="_____TLA35" localSheetId="3">#REF!</definedName>
    <definedName name="_____TLA35" localSheetId="4">#REF!</definedName>
    <definedName name="_____TLA35" localSheetId="5">#REF!</definedName>
    <definedName name="_____TLA35">#REF!</definedName>
    <definedName name="_____TLA50" localSheetId="2">#REF!</definedName>
    <definedName name="_____TLA50" localSheetId="3">#REF!</definedName>
    <definedName name="_____TLA50" localSheetId="4">#REF!</definedName>
    <definedName name="_____TLA50" localSheetId="5">#REF!</definedName>
    <definedName name="_____TLA50">#REF!</definedName>
    <definedName name="_____TLA70" localSheetId="2">#REF!</definedName>
    <definedName name="_____TLA70" localSheetId="3">#REF!</definedName>
    <definedName name="_____TLA70" localSheetId="4">#REF!</definedName>
    <definedName name="_____TLA70" localSheetId="5">#REF!</definedName>
    <definedName name="_____TLA70">#REF!</definedName>
    <definedName name="_____TLA95" localSheetId="2">#REF!</definedName>
    <definedName name="_____TLA95" localSheetId="3">#REF!</definedName>
    <definedName name="_____TLA95" localSheetId="4">#REF!</definedName>
    <definedName name="_____TLA95" localSheetId="5">#REF!</definedName>
    <definedName name="_____TLA95">#REF!</definedName>
    <definedName name="____boi1" localSheetId="2">#REF!</definedName>
    <definedName name="____boi1" localSheetId="3">#REF!</definedName>
    <definedName name="____boi1" localSheetId="4">#REF!</definedName>
    <definedName name="____boi1" localSheetId="5">#REF!</definedName>
    <definedName name="____boi1">#REF!</definedName>
    <definedName name="____boi2" localSheetId="2">#REF!</definedName>
    <definedName name="____boi2" localSheetId="3">#REF!</definedName>
    <definedName name="____boi2" localSheetId="4">#REF!</definedName>
    <definedName name="____boi2" localSheetId="5">#REF!</definedName>
    <definedName name="____boi2">#REF!</definedName>
    <definedName name="____CON1" localSheetId="2">#REF!</definedName>
    <definedName name="____CON1" localSheetId="3">#REF!</definedName>
    <definedName name="____CON1" localSheetId="4">#REF!</definedName>
    <definedName name="____CON1" localSheetId="5">#REF!</definedName>
    <definedName name="____CON1">#REF!</definedName>
    <definedName name="____CON2" localSheetId="2">#REF!</definedName>
    <definedName name="____CON2" localSheetId="3">#REF!</definedName>
    <definedName name="____CON2" localSheetId="4">#REF!</definedName>
    <definedName name="____CON2" localSheetId="5">#REF!</definedName>
    <definedName name="____CON2">#REF!</definedName>
    <definedName name="____ddn400" localSheetId="2">#REF!</definedName>
    <definedName name="____ddn400" localSheetId="3">#REF!</definedName>
    <definedName name="____ddn400" localSheetId="4">#REF!</definedName>
    <definedName name="____ddn400" localSheetId="5">#REF!</definedName>
    <definedName name="____ddn400">#REF!</definedName>
    <definedName name="____ddn600" localSheetId="2">#REF!</definedName>
    <definedName name="____ddn600" localSheetId="3">#REF!</definedName>
    <definedName name="____ddn600" localSheetId="4">#REF!</definedName>
    <definedName name="____ddn600" localSheetId="5">#REF!</definedName>
    <definedName name="____ddn600">#REF!</definedName>
    <definedName name="____MAC12" localSheetId="2">#REF!</definedName>
    <definedName name="____MAC12" localSheetId="3">#REF!</definedName>
    <definedName name="____MAC12" localSheetId="4">#REF!</definedName>
    <definedName name="____MAC12" localSheetId="5">#REF!</definedName>
    <definedName name="____MAC12">#REF!</definedName>
    <definedName name="____MAC46" localSheetId="2">#REF!</definedName>
    <definedName name="____MAC46" localSheetId="3">#REF!</definedName>
    <definedName name="____MAC46" localSheetId="4">#REF!</definedName>
    <definedName name="____MAC46" localSheetId="5">#REF!</definedName>
    <definedName name="____MAC46">#REF!</definedName>
    <definedName name="____NCL100" localSheetId="2">#REF!</definedName>
    <definedName name="____NCL100" localSheetId="3">#REF!</definedName>
    <definedName name="____NCL100" localSheetId="4">#REF!</definedName>
    <definedName name="____NCL100" localSheetId="5">#REF!</definedName>
    <definedName name="____NCL100">#REF!</definedName>
    <definedName name="____NCL200" localSheetId="2">#REF!</definedName>
    <definedName name="____NCL200" localSheetId="3">#REF!</definedName>
    <definedName name="____NCL200" localSheetId="4">#REF!</definedName>
    <definedName name="____NCL200" localSheetId="5">#REF!</definedName>
    <definedName name="____NCL200">#REF!</definedName>
    <definedName name="____NCL250" localSheetId="2">#REF!</definedName>
    <definedName name="____NCL250" localSheetId="3">#REF!</definedName>
    <definedName name="____NCL250" localSheetId="4">#REF!</definedName>
    <definedName name="____NCL250" localSheetId="5">#REF!</definedName>
    <definedName name="____NCL250">#REF!</definedName>
    <definedName name="____NET2" localSheetId="2">#REF!</definedName>
    <definedName name="____NET2" localSheetId="3">#REF!</definedName>
    <definedName name="____NET2" localSheetId="4">#REF!</definedName>
    <definedName name="____NET2" localSheetId="5">#REF!</definedName>
    <definedName name="____NET2">#REF!</definedName>
    <definedName name="____nin190" localSheetId="2">#REF!</definedName>
    <definedName name="____nin190" localSheetId="3">#REF!</definedName>
    <definedName name="____nin190" localSheetId="4">#REF!</definedName>
    <definedName name="____nin190" localSheetId="5">#REF!</definedName>
    <definedName name="____nin190">#REF!</definedName>
    <definedName name="____sc1" localSheetId="2">#REF!</definedName>
    <definedName name="____sc1" localSheetId="3">#REF!</definedName>
    <definedName name="____sc1" localSheetId="4">#REF!</definedName>
    <definedName name="____sc1" localSheetId="5">#REF!</definedName>
    <definedName name="____sc1">#REF!</definedName>
    <definedName name="____SC2" localSheetId="2">#REF!</definedName>
    <definedName name="____SC2" localSheetId="3">#REF!</definedName>
    <definedName name="____SC2" localSheetId="4">#REF!</definedName>
    <definedName name="____SC2" localSheetId="5">#REF!</definedName>
    <definedName name="____SC2">#REF!</definedName>
    <definedName name="____sc3" localSheetId="2">#REF!</definedName>
    <definedName name="____sc3" localSheetId="3">#REF!</definedName>
    <definedName name="____sc3" localSheetId="4">#REF!</definedName>
    <definedName name="____sc3" localSheetId="5">#REF!</definedName>
    <definedName name="____sc3">#REF!</definedName>
    <definedName name="____SN3" localSheetId="2">#REF!</definedName>
    <definedName name="____SN3" localSheetId="3">#REF!</definedName>
    <definedName name="____SN3" localSheetId="4">#REF!</definedName>
    <definedName name="____SN3" localSheetId="5">#REF!</definedName>
    <definedName name="____SN3">#REF!</definedName>
    <definedName name="____TL1" localSheetId="2">#REF!</definedName>
    <definedName name="____TL1" localSheetId="3">#REF!</definedName>
    <definedName name="____TL1" localSheetId="4">#REF!</definedName>
    <definedName name="____TL1" localSheetId="5">#REF!</definedName>
    <definedName name="____TL1">#REF!</definedName>
    <definedName name="____TL2" localSheetId="2">#REF!</definedName>
    <definedName name="____TL2" localSheetId="3">#REF!</definedName>
    <definedName name="____TL2" localSheetId="4">#REF!</definedName>
    <definedName name="____TL2" localSheetId="5">#REF!</definedName>
    <definedName name="____TL2">#REF!</definedName>
    <definedName name="____TL3" localSheetId="2">#REF!</definedName>
    <definedName name="____TL3" localSheetId="3">#REF!</definedName>
    <definedName name="____TL3" localSheetId="4">#REF!</definedName>
    <definedName name="____TL3" localSheetId="5">#REF!</definedName>
    <definedName name="____TL3">#REF!</definedName>
    <definedName name="____TLA120" localSheetId="2">#REF!</definedName>
    <definedName name="____TLA120" localSheetId="3">#REF!</definedName>
    <definedName name="____TLA120" localSheetId="4">#REF!</definedName>
    <definedName name="____TLA120" localSheetId="5">#REF!</definedName>
    <definedName name="____TLA120">#REF!</definedName>
    <definedName name="____TLA35" localSheetId="2">#REF!</definedName>
    <definedName name="____TLA35" localSheetId="3">#REF!</definedName>
    <definedName name="____TLA35" localSheetId="4">#REF!</definedName>
    <definedName name="____TLA35" localSheetId="5">#REF!</definedName>
    <definedName name="____TLA35">#REF!</definedName>
    <definedName name="____TLA50" localSheetId="2">#REF!</definedName>
    <definedName name="____TLA50" localSheetId="3">#REF!</definedName>
    <definedName name="____TLA50" localSheetId="4">#REF!</definedName>
    <definedName name="____TLA50" localSheetId="5">#REF!</definedName>
    <definedName name="____TLA50">#REF!</definedName>
    <definedName name="____TLA70" localSheetId="2">#REF!</definedName>
    <definedName name="____TLA70" localSheetId="3">#REF!</definedName>
    <definedName name="____TLA70" localSheetId="4">#REF!</definedName>
    <definedName name="____TLA70" localSheetId="5">#REF!</definedName>
    <definedName name="____TLA70">#REF!</definedName>
    <definedName name="____TLA95" localSheetId="2">#REF!</definedName>
    <definedName name="____TLA95" localSheetId="3">#REF!</definedName>
    <definedName name="____TLA95" localSheetId="4">#REF!</definedName>
    <definedName name="____TLA95" localSheetId="5">#REF!</definedName>
    <definedName name="____TLA95">#REF!</definedName>
    <definedName name="____tz593" localSheetId="2">#REF!</definedName>
    <definedName name="____tz593" localSheetId="3">#REF!</definedName>
    <definedName name="____tz593" localSheetId="4">#REF!</definedName>
    <definedName name="____tz593" localSheetId="5">#REF!</definedName>
    <definedName name="____tz593">#REF!</definedName>
    <definedName name="____VL100" localSheetId="2">#REF!</definedName>
    <definedName name="____VL100" localSheetId="3">#REF!</definedName>
    <definedName name="____VL100" localSheetId="4">#REF!</definedName>
    <definedName name="____VL100" localSheetId="5">#REF!</definedName>
    <definedName name="____VL100">#REF!</definedName>
    <definedName name="____VL200" localSheetId="2">#REF!</definedName>
    <definedName name="____VL200" localSheetId="3">#REF!</definedName>
    <definedName name="____VL200" localSheetId="4">#REF!</definedName>
    <definedName name="____VL200" localSheetId="5">#REF!</definedName>
    <definedName name="____VL200">#REF!</definedName>
    <definedName name="____VL250" localSheetId="2">#REF!</definedName>
    <definedName name="____VL250" localSheetId="3">#REF!</definedName>
    <definedName name="____VL250" localSheetId="4">#REF!</definedName>
    <definedName name="____VL250" localSheetId="5">#REF!</definedName>
    <definedName name="____VL250">#REF!</definedName>
    <definedName name="___boi1" localSheetId="2">#REF!</definedName>
    <definedName name="___boi1" localSheetId="3">#REF!</definedName>
    <definedName name="___boi1" localSheetId="4">#REF!</definedName>
    <definedName name="___boi1" localSheetId="5">#REF!</definedName>
    <definedName name="___boi1">#REF!</definedName>
    <definedName name="___boi2" localSheetId="2">#REF!</definedName>
    <definedName name="___boi2" localSheetId="3">#REF!</definedName>
    <definedName name="___boi2" localSheetId="4">#REF!</definedName>
    <definedName name="___boi2" localSheetId="5">#REF!</definedName>
    <definedName name="___boi2">#REF!</definedName>
    <definedName name="___CON1" localSheetId="2">#REF!</definedName>
    <definedName name="___CON1" localSheetId="3">#REF!</definedName>
    <definedName name="___CON1" localSheetId="4">#REF!</definedName>
    <definedName name="___CON1" localSheetId="5">#REF!</definedName>
    <definedName name="___CON1">#REF!</definedName>
    <definedName name="___CON2" localSheetId="2">#REF!</definedName>
    <definedName name="___CON2" localSheetId="3">#REF!</definedName>
    <definedName name="___CON2" localSheetId="4">#REF!</definedName>
    <definedName name="___CON2" localSheetId="5">#REF!</definedName>
    <definedName name="___CON2">#REF!</definedName>
    <definedName name="___ddn400" localSheetId="2">#REF!</definedName>
    <definedName name="___ddn400" localSheetId="3">#REF!</definedName>
    <definedName name="___ddn400" localSheetId="4">#REF!</definedName>
    <definedName name="___ddn400" localSheetId="5">#REF!</definedName>
    <definedName name="___ddn400">#REF!</definedName>
    <definedName name="___ddn600" localSheetId="2">#REF!</definedName>
    <definedName name="___ddn600" localSheetId="3">#REF!</definedName>
    <definedName name="___ddn600" localSheetId="4">#REF!</definedName>
    <definedName name="___ddn600" localSheetId="5">#REF!</definedName>
    <definedName name="___ddn600">#REF!</definedName>
    <definedName name="___MAC12" localSheetId="2">#REF!</definedName>
    <definedName name="___MAC12" localSheetId="3">#REF!</definedName>
    <definedName name="___MAC12" localSheetId="4">#REF!</definedName>
    <definedName name="___MAC12" localSheetId="5">#REF!</definedName>
    <definedName name="___MAC12">#REF!</definedName>
    <definedName name="___MAC46" localSheetId="2">#REF!</definedName>
    <definedName name="___MAC46" localSheetId="3">#REF!</definedName>
    <definedName name="___MAC46" localSheetId="4">#REF!</definedName>
    <definedName name="___MAC46" localSheetId="5">#REF!</definedName>
    <definedName name="___MAC46">#REF!</definedName>
    <definedName name="___NCL100" localSheetId="2">#REF!</definedName>
    <definedName name="___NCL100" localSheetId="3">#REF!</definedName>
    <definedName name="___NCL100" localSheetId="4">#REF!</definedName>
    <definedName name="___NCL100" localSheetId="5">#REF!</definedName>
    <definedName name="___NCL100">#REF!</definedName>
    <definedName name="___NCL200" localSheetId="2">#REF!</definedName>
    <definedName name="___NCL200" localSheetId="3">#REF!</definedName>
    <definedName name="___NCL200" localSheetId="4">#REF!</definedName>
    <definedName name="___NCL200" localSheetId="5">#REF!</definedName>
    <definedName name="___NCL200">#REF!</definedName>
    <definedName name="___NCL250" localSheetId="2">#REF!</definedName>
    <definedName name="___NCL250" localSheetId="3">#REF!</definedName>
    <definedName name="___NCL250" localSheetId="4">#REF!</definedName>
    <definedName name="___NCL250" localSheetId="5">#REF!</definedName>
    <definedName name="___NCL250">#REF!</definedName>
    <definedName name="___NET2" localSheetId="2">#REF!</definedName>
    <definedName name="___NET2" localSheetId="3">#REF!</definedName>
    <definedName name="___NET2" localSheetId="4">#REF!</definedName>
    <definedName name="___NET2" localSheetId="5">#REF!</definedName>
    <definedName name="___NET2">#REF!</definedName>
    <definedName name="___nin190" localSheetId="2">#REF!</definedName>
    <definedName name="___nin190" localSheetId="3">#REF!</definedName>
    <definedName name="___nin190" localSheetId="4">#REF!</definedName>
    <definedName name="___nin190" localSheetId="5">#REF!</definedName>
    <definedName name="___nin190">#REF!</definedName>
    <definedName name="___sc1" localSheetId="2">#REF!</definedName>
    <definedName name="___sc1" localSheetId="3">#REF!</definedName>
    <definedName name="___sc1" localSheetId="4">#REF!</definedName>
    <definedName name="___sc1" localSheetId="5">#REF!</definedName>
    <definedName name="___sc1">#REF!</definedName>
    <definedName name="___SC2" localSheetId="2">#REF!</definedName>
    <definedName name="___SC2" localSheetId="3">#REF!</definedName>
    <definedName name="___SC2" localSheetId="4">#REF!</definedName>
    <definedName name="___SC2" localSheetId="5">#REF!</definedName>
    <definedName name="___SC2">#REF!</definedName>
    <definedName name="___sc3" localSheetId="2">#REF!</definedName>
    <definedName name="___sc3" localSheetId="3">#REF!</definedName>
    <definedName name="___sc3" localSheetId="4">#REF!</definedName>
    <definedName name="___sc3" localSheetId="5">#REF!</definedName>
    <definedName name="___sc3">#REF!</definedName>
    <definedName name="___SN3" localSheetId="2">#REF!</definedName>
    <definedName name="___SN3" localSheetId="3">#REF!</definedName>
    <definedName name="___SN3" localSheetId="4">#REF!</definedName>
    <definedName name="___SN3" localSheetId="5">#REF!</definedName>
    <definedName name="___SN3">#REF!</definedName>
    <definedName name="___TL1" localSheetId="2">#REF!</definedName>
    <definedName name="___TL1" localSheetId="3">#REF!</definedName>
    <definedName name="___TL1" localSheetId="4">#REF!</definedName>
    <definedName name="___TL1" localSheetId="5">#REF!</definedName>
    <definedName name="___TL1">#REF!</definedName>
    <definedName name="___TL2" localSheetId="2">#REF!</definedName>
    <definedName name="___TL2" localSheetId="3">#REF!</definedName>
    <definedName name="___TL2" localSheetId="4">#REF!</definedName>
    <definedName name="___TL2" localSheetId="5">#REF!</definedName>
    <definedName name="___TL2">#REF!</definedName>
    <definedName name="___TL3" localSheetId="2">#REF!</definedName>
    <definedName name="___TL3" localSheetId="3">#REF!</definedName>
    <definedName name="___TL3" localSheetId="4">#REF!</definedName>
    <definedName name="___TL3" localSheetId="5">#REF!</definedName>
    <definedName name="___TL3">#REF!</definedName>
    <definedName name="___TLA120" localSheetId="2">#REF!</definedName>
    <definedName name="___TLA120" localSheetId="3">#REF!</definedName>
    <definedName name="___TLA120" localSheetId="4">#REF!</definedName>
    <definedName name="___TLA120" localSheetId="5">#REF!</definedName>
    <definedName name="___TLA120">#REF!</definedName>
    <definedName name="___TLA35" localSheetId="2">#REF!</definedName>
    <definedName name="___TLA35" localSheetId="3">#REF!</definedName>
    <definedName name="___TLA35" localSheetId="4">#REF!</definedName>
    <definedName name="___TLA35" localSheetId="5">#REF!</definedName>
    <definedName name="___TLA35">#REF!</definedName>
    <definedName name="___TLA50" localSheetId="2">#REF!</definedName>
    <definedName name="___TLA50" localSheetId="3">#REF!</definedName>
    <definedName name="___TLA50" localSheetId="4">#REF!</definedName>
    <definedName name="___TLA50" localSheetId="5">#REF!</definedName>
    <definedName name="___TLA50">#REF!</definedName>
    <definedName name="___TLA70" localSheetId="2">#REF!</definedName>
    <definedName name="___TLA70" localSheetId="3">#REF!</definedName>
    <definedName name="___TLA70" localSheetId="4">#REF!</definedName>
    <definedName name="___TLA70" localSheetId="5">#REF!</definedName>
    <definedName name="___TLA70">#REF!</definedName>
    <definedName name="___TLA95" localSheetId="2">#REF!</definedName>
    <definedName name="___TLA95" localSheetId="3">#REF!</definedName>
    <definedName name="___TLA95" localSheetId="4">#REF!</definedName>
    <definedName name="___TLA95" localSheetId="5">#REF!</definedName>
    <definedName name="___TLA95">#REF!</definedName>
    <definedName name="___tz593" localSheetId="2">#REF!</definedName>
    <definedName name="___tz593" localSheetId="3">#REF!</definedName>
    <definedName name="___tz593" localSheetId="4">#REF!</definedName>
    <definedName name="___tz593" localSheetId="5">#REF!</definedName>
    <definedName name="___tz593">#REF!</definedName>
    <definedName name="___VL100" localSheetId="2">#REF!</definedName>
    <definedName name="___VL100" localSheetId="3">#REF!</definedName>
    <definedName name="___VL100" localSheetId="4">#REF!</definedName>
    <definedName name="___VL100" localSheetId="5">#REF!</definedName>
    <definedName name="___VL100">#REF!</definedName>
    <definedName name="___VL200" localSheetId="2">#REF!</definedName>
    <definedName name="___VL200" localSheetId="3">#REF!</definedName>
    <definedName name="___VL200" localSheetId="4">#REF!</definedName>
    <definedName name="___VL200" localSheetId="5">#REF!</definedName>
    <definedName name="___VL200">#REF!</definedName>
    <definedName name="___VL250" localSheetId="2">#REF!</definedName>
    <definedName name="___VL250" localSheetId="3">#REF!</definedName>
    <definedName name="___VL250" localSheetId="4">#REF!</definedName>
    <definedName name="___VL250" localSheetId="5">#REF!</definedName>
    <definedName name="___VL250">#REF!</definedName>
    <definedName name="__boi1" localSheetId="2">#REF!</definedName>
    <definedName name="__boi1" localSheetId="3">#REF!</definedName>
    <definedName name="__boi1" localSheetId="4">#REF!</definedName>
    <definedName name="__boi1" localSheetId="5">#REF!</definedName>
    <definedName name="__boi1">#REF!</definedName>
    <definedName name="__boi2" localSheetId="2">#REF!</definedName>
    <definedName name="__boi2" localSheetId="3">#REF!</definedName>
    <definedName name="__boi2" localSheetId="4">#REF!</definedName>
    <definedName name="__boi2" localSheetId="5">#REF!</definedName>
    <definedName name="__boi2">#REF!</definedName>
    <definedName name="__CON1" localSheetId="2">#REF!</definedName>
    <definedName name="__CON1" localSheetId="3">#REF!</definedName>
    <definedName name="__CON1" localSheetId="4">#REF!</definedName>
    <definedName name="__CON1" localSheetId="5">#REF!</definedName>
    <definedName name="__CON1">#REF!</definedName>
    <definedName name="__CON2" localSheetId="2">#REF!</definedName>
    <definedName name="__CON2" localSheetId="3">#REF!</definedName>
    <definedName name="__CON2" localSheetId="4">#REF!</definedName>
    <definedName name="__CON2" localSheetId="5">#REF!</definedName>
    <definedName name="__CON2">#REF!</definedName>
    <definedName name="__ddn400" localSheetId="2">#REF!</definedName>
    <definedName name="__ddn400" localSheetId="3">#REF!</definedName>
    <definedName name="__ddn400" localSheetId="4">#REF!</definedName>
    <definedName name="__ddn400" localSheetId="5">#REF!</definedName>
    <definedName name="__ddn400">#REF!</definedName>
    <definedName name="__ddn600" localSheetId="2">#REF!</definedName>
    <definedName name="__ddn600" localSheetId="3">#REF!</definedName>
    <definedName name="__ddn600" localSheetId="4">#REF!</definedName>
    <definedName name="__ddn600" localSheetId="5">#REF!</definedName>
    <definedName name="__ddn600">#REF!</definedName>
    <definedName name="__MAC12" localSheetId="2">#REF!</definedName>
    <definedName name="__MAC12" localSheetId="3">#REF!</definedName>
    <definedName name="__MAC12" localSheetId="4">#REF!</definedName>
    <definedName name="__MAC12" localSheetId="5">#REF!</definedName>
    <definedName name="__MAC12">#REF!</definedName>
    <definedName name="__MAC46" localSheetId="2">#REF!</definedName>
    <definedName name="__MAC46" localSheetId="3">#REF!</definedName>
    <definedName name="__MAC46" localSheetId="4">#REF!</definedName>
    <definedName name="__MAC46" localSheetId="5">#REF!</definedName>
    <definedName name="__MAC46">#REF!</definedName>
    <definedName name="__NCL100" localSheetId="2">#REF!</definedName>
    <definedName name="__NCL100" localSheetId="3">#REF!</definedName>
    <definedName name="__NCL100" localSheetId="4">#REF!</definedName>
    <definedName name="__NCL100" localSheetId="5">#REF!</definedName>
    <definedName name="__NCL100">#REF!</definedName>
    <definedName name="__NCL200" localSheetId="2">#REF!</definedName>
    <definedName name="__NCL200" localSheetId="3">#REF!</definedName>
    <definedName name="__NCL200" localSheetId="4">#REF!</definedName>
    <definedName name="__NCL200" localSheetId="5">#REF!</definedName>
    <definedName name="__NCL200">#REF!</definedName>
    <definedName name="__NCL250" localSheetId="2">#REF!</definedName>
    <definedName name="__NCL250" localSheetId="3">#REF!</definedName>
    <definedName name="__NCL250" localSheetId="4">#REF!</definedName>
    <definedName name="__NCL250" localSheetId="5">#REF!</definedName>
    <definedName name="__NCL250">#REF!</definedName>
    <definedName name="__NET2" localSheetId="2">#REF!</definedName>
    <definedName name="__NET2" localSheetId="3">#REF!</definedName>
    <definedName name="__NET2" localSheetId="4">#REF!</definedName>
    <definedName name="__NET2" localSheetId="5">#REF!</definedName>
    <definedName name="__NET2">#REF!</definedName>
    <definedName name="__nin190" localSheetId="2">#REF!</definedName>
    <definedName name="__nin190" localSheetId="3">#REF!</definedName>
    <definedName name="__nin190" localSheetId="4">#REF!</definedName>
    <definedName name="__nin190" localSheetId="5">#REF!</definedName>
    <definedName name="__nin190">#REF!</definedName>
    <definedName name="__sc1" localSheetId="2">#REF!</definedName>
    <definedName name="__sc1" localSheetId="3">#REF!</definedName>
    <definedName name="__sc1" localSheetId="4">#REF!</definedName>
    <definedName name="__sc1" localSheetId="5">#REF!</definedName>
    <definedName name="__sc1">#REF!</definedName>
    <definedName name="__SC2" localSheetId="2">#REF!</definedName>
    <definedName name="__SC2" localSheetId="3">#REF!</definedName>
    <definedName name="__SC2" localSheetId="4">#REF!</definedName>
    <definedName name="__SC2" localSheetId="5">#REF!</definedName>
    <definedName name="__SC2">#REF!</definedName>
    <definedName name="__sc3" localSheetId="2">#REF!</definedName>
    <definedName name="__sc3" localSheetId="3">#REF!</definedName>
    <definedName name="__sc3" localSheetId="4">#REF!</definedName>
    <definedName name="__sc3" localSheetId="5">#REF!</definedName>
    <definedName name="__sc3">#REF!</definedName>
    <definedName name="__SN3" localSheetId="2">#REF!</definedName>
    <definedName name="__SN3" localSheetId="3">#REF!</definedName>
    <definedName name="__SN3" localSheetId="4">#REF!</definedName>
    <definedName name="__SN3" localSheetId="5">#REF!</definedName>
    <definedName name="__SN3">#REF!</definedName>
    <definedName name="__TL1" localSheetId="2">#REF!</definedName>
    <definedName name="__TL1" localSheetId="3">#REF!</definedName>
    <definedName name="__TL1" localSheetId="4">#REF!</definedName>
    <definedName name="__TL1" localSheetId="5">#REF!</definedName>
    <definedName name="__TL1">#REF!</definedName>
    <definedName name="__TL2" localSheetId="2">#REF!</definedName>
    <definedName name="__TL2" localSheetId="3">#REF!</definedName>
    <definedName name="__TL2" localSheetId="4">#REF!</definedName>
    <definedName name="__TL2" localSheetId="5">#REF!</definedName>
    <definedName name="__TL2">#REF!</definedName>
    <definedName name="__TL3" localSheetId="2">#REF!</definedName>
    <definedName name="__TL3" localSheetId="3">#REF!</definedName>
    <definedName name="__TL3" localSheetId="4">#REF!</definedName>
    <definedName name="__TL3" localSheetId="5">#REF!</definedName>
    <definedName name="__TL3">#REF!</definedName>
    <definedName name="__TLA120" localSheetId="2">#REF!</definedName>
    <definedName name="__TLA120" localSheetId="3">#REF!</definedName>
    <definedName name="__TLA120" localSheetId="4">#REF!</definedName>
    <definedName name="__TLA120" localSheetId="5">#REF!</definedName>
    <definedName name="__TLA120">#REF!</definedName>
    <definedName name="__TLA35" localSheetId="2">#REF!</definedName>
    <definedName name="__TLA35" localSheetId="3">#REF!</definedName>
    <definedName name="__TLA35" localSheetId="4">#REF!</definedName>
    <definedName name="__TLA35" localSheetId="5">#REF!</definedName>
    <definedName name="__TLA35">#REF!</definedName>
    <definedName name="__TLA50" localSheetId="2">#REF!</definedName>
    <definedName name="__TLA50" localSheetId="3">#REF!</definedName>
    <definedName name="__TLA50" localSheetId="4">#REF!</definedName>
    <definedName name="__TLA50" localSheetId="5">#REF!</definedName>
    <definedName name="__TLA50">#REF!</definedName>
    <definedName name="__TLA70" localSheetId="2">#REF!</definedName>
    <definedName name="__TLA70" localSheetId="3">#REF!</definedName>
    <definedName name="__TLA70" localSheetId="4">#REF!</definedName>
    <definedName name="__TLA70" localSheetId="5">#REF!</definedName>
    <definedName name="__TLA70">#REF!</definedName>
    <definedName name="__TLA95" localSheetId="2">#REF!</definedName>
    <definedName name="__TLA95" localSheetId="3">#REF!</definedName>
    <definedName name="__TLA95" localSheetId="4">#REF!</definedName>
    <definedName name="__TLA95" localSheetId="5">#REF!</definedName>
    <definedName name="__TLA95">#REF!</definedName>
    <definedName name="__tz593" localSheetId="2">#REF!</definedName>
    <definedName name="__tz593" localSheetId="3">#REF!</definedName>
    <definedName name="__tz593" localSheetId="4">#REF!</definedName>
    <definedName name="__tz593" localSheetId="5">#REF!</definedName>
    <definedName name="__tz593">#REF!</definedName>
    <definedName name="__VL100" localSheetId="2">#REF!</definedName>
    <definedName name="__VL100" localSheetId="3">#REF!</definedName>
    <definedName name="__VL100" localSheetId="4">#REF!</definedName>
    <definedName name="__VL100" localSheetId="5">#REF!</definedName>
    <definedName name="__VL100">#REF!</definedName>
    <definedName name="__VL200" localSheetId="2">#REF!</definedName>
    <definedName name="__VL200" localSheetId="3">#REF!</definedName>
    <definedName name="__VL200" localSheetId="4">#REF!</definedName>
    <definedName name="__VL200" localSheetId="5">#REF!</definedName>
    <definedName name="__VL200">#REF!</definedName>
    <definedName name="__VL250" localSheetId="2">#REF!</definedName>
    <definedName name="__VL250" localSheetId="3">#REF!</definedName>
    <definedName name="__VL250" localSheetId="4">#REF!</definedName>
    <definedName name="__VL250" localSheetId="5">#REF!</definedName>
    <definedName name="__VL250">#REF!</definedName>
    <definedName name="_1" localSheetId="2">#REF!</definedName>
    <definedName name="_1" localSheetId="3">#REF!</definedName>
    <definedName name="_1" localSheetId="4">#REF!</definedName>
    <definedName name="_1" localSheetId="5">#REF!</definedName>
    <definedName name="_1">#REF!</definedName>
    <definedName name="_2" localSheetId="2">#REF!</definedName>
    <definedName name="_2" localSheetId="3">#REF!</definedName>
    <definedName name="_2" localSheetId="4">#REF!</definedName>
    <definedName name="_2" localSheetId="5">#REF!</definedName>
    <definedName name="_2">#REF!</definedName>
    <definedName name="_boi1" localSheetId="2">#REF!</definedName>
    <definedName name="_boi1" localSheetId="3">#REF!</definedName>
    <definedName name="_boi1" localSheetId="4">#REF!</definedName>
    <definedName name="_boi1" localSheetId="5">#REF!</definedName>
    <definedName name="_boi1">#REF!</definedName>
    <definedName name="_boi2" localSheetId="2">#REF!</definedName>
    <definedName name="_boi2" localSheetId="3">#REF!</definedName>
    <definedName name="_boi2" localSheetId="4">#REF!</definedName>
    <definedName name="_boi2" localSheetId="5">#REF!</definedName>
    <definedName name="_boi2">#REF!</definedName>
    <definedName name="_CON1" localSheetId="2">#REF!</definedName>
    <definedName name="_CON1" localSheetId="3">#REF!</definedName>
    <definedName name="_CON1" localSheetId="4">#REF!</definedName>
    <definedName name="_CON1" localSheetId="5">#REF!</definedName>
    <definedName name="_CON1">#REF!</definedName>
    <definedName name="_CON2" localSheetId="2">#REF!</definedName>
    <definedName name="_CON2" localSheetId="3">#REF!</definedName>
    <definedName name="_CON2" localSheetId="4">#REF!</definedName>
    <definedName name="_CON2" localSheetId="5">#REF!</definedName>
    <definedName name="_CON2">#REF!</definedName>
    <definedName name="_ddn400" localSheetId="2">#REF!</definedName>
    <definedName name="_ddn400" localSheetId="3">#REF!</definedName>
    <definedName name="_ddn400" localSheetId="4">#REF!</definedName>
    <definedName name="_ddn400" localSheetId="5">#REF!</definedName>
    <definedName name="_ddn400">#REF!</definedName>
    <definedName name="_ddn600" localSheetId="2">#REF!</definedName>
    <definedName name="_ddn600" localSheetId="3">#REF!</definedName>
    <definedName name="_ddn600" localSheetId="4">#REF!</definedName>
    <definedName name="_ddn600" localSheetId="5">#REF!</definedName>
    <definedName name="_ddn600">#REF!</definedName>
    <definedName name="_Fill" localSheetId="2" hidden="1">#REF!</definedName>
    <definedName name="_Fill" localSheetId="3" hidden="1">#REF!</definedName>
    <definedName name="_Fill" localSheetId="4" hidden="1">#REF!</definedName>
    <definedName name="_Fill" localSheetId="5" hidden="1">#REF!</definedName>
    <definedName name="_Fill" hidden="1">#REF!</definedName>
    <definedName name="_xlnm._FilterDatabase" localSheetId="2" hidden="1">'PL 02'!$A$2:$X$46</definedName>
    <definedName name="_xlnm._FilterDatabase" localSheetId="3" hidden="1">'PL 03'!$A$9:$AE$93</definedName>
    <definedName name="_xlnm._FilterDatabase" localSheetId="4" hidden="1">'PL 04'!$A$11:$BJ$1008</definedName>
    <definedName name="_xlnm._FilterDatabase" localSheetId="6" hidden="1">'PL 06'!$A$6:$G$132</definedName>
    <definedName name="_Hlk215574854" localSheetId="6">'PL 06'!$J$12</definedName>
    <definedName name="_MAC12" localSheetId="2">#REF!</definedName>
    <definedName name="_MAC12" localSheetId="3">#REF!</definedName>
    <definedName name="_MAC12" localSheetId="4">#REF!</definedName>
    <definedName name="_MAC12" localSheetId="5">#REF!</definedName>
    <definedName name="_MAC12">#REF!</definedName>
    <definedName name="_MAC46" localSheetId="2">#REF!</definedName>
    <definedName name="_MAC46" localSheetId="3">#REF!</definedName>
    <definedName name="_MAC46" localSheetId="4">#REF!</definedName>
    <definedName name="_MAC46" localSheetId="5">#REF!</definedName>
    <definedName name="_MAC46">#REF!</definedName>
    <definedName name="_NCL100" localSheetId="2">#REF!</definedName>
    <definedName name="_NCL100" localSheetId="3">#REF!</definedName>
    <definedName name="_NCL100" localSheetId="4">#REF!</definedName>
    <definedName name="_NCL100" localSheetId="5">#REF!</definedName>
    <definedName name="_NCL100">#REF!</definedName>
    <definedName name="_NCL200" localSheetId="2">#REF!</definedName>
    <definedName name="_NCL200" localSheetId="3">#REF!</definedName>
    <definedName name="_NCL200" localSheetId="4">#REF!</definedName>
    <definedName name="_NCL200" localSheetId="5">#REF!</definedName>
    <definedName name="_NCL200">#REF!</definedName>
    <definedName name="_NCL250" localSheetId="2">#REF!</definedName>
    <definedName name="_NCL250" localSheetId="3">#REF!</definedName>
    <definedName name="_NCL250" localSheetId="4">#REF!</definedName>
    <definedName name="_NCL250" localSheetId="5">#REF!</definedName>
    <definedName name="_NCL250">#REF!</definedName>
    <definedName name="_NET2" localSheetId="2">#REF!</definedName>
    <definedName name="_NET2" localSheetId="3">#REF!</definedName>
    <definedName name="_NET2" localSheetId="4">#REF!</definedName>
    <definedName name="_NET2" localSheetId="5">#REF!</definedName>
    <definedName name="_NET2">#REF!</definedName>
    <definedName name="_nin190" localSheetId="2">#REF!</definedName>
    <definedName name="_nin190" localSheetId="3">#REF!</definedName>
    <definedName name="_nin190" localSheetId="4">#REF!</definedName>
    <definedName name="_nin190" localSheetId="5">#REF!</definedName>
    <definedName name="_nin190">#REF!</definedName>
    <definedName name="_Order1" hidden="1">255</definedName>
    <definedName name="_Order2" hidden="1">255</definedName>
    <definedName name="_sc1" localSheetId="2">#REF!</definedName>
    <definedName name="_sc1" localSheetId="3">#REF!</definedName>
    <definedName name="_sc1" localSheetId="4">#REF!</definedName>
    <definedName name="_sc1" localSheetId="5">#REF!</definedName>
    <definedName name="_sc1">#REF!</definedName>
    <definedName name="_SC2" localSheetId="2">#REF!</definedName>
    <definedName name="_SC2" localSheetId="3">#REF!</definedName>
    <definedName name="_SC2" localSheetId="4">#REF!</definedName>
    <definedName name="_SC2" localSheetId="5">#REF!</definedName>
    <definedName name="_SC2">#REF!</definedName>
    <definedName name="_sc3" localSheetId="2">#REF!</definedName>
    <definedName name="_sc3" localSheetId="3">#REF!</definedName>
    <definedName name="_sc3" localSheetId="4">#REF!</definedName>
    <definedName name="_sc3" localSheetId="5">#REF!</definedName>
    <definedName name="_sc3">#REF!</definedName>
    <definedName name="_SN3" localSheetId="2">#REF!</definedName>
    <definedName name="_SN3" localSheetId="3">#REF!</definedName>
    <definedName name="_SN3" localSheetId="4">#REF!</definedName>
    <definedName name="_SN3" localSheetId="5">#REF!</definedName>
    <definedName name="_SN3">#REF!</definedName>
    <definedName name="_Sort" localSheetId="2" hidden="1">#REF!</definedName>
    <definedName name="_Sort" localSheetId="3" hidden="1">#REF!</definedName>
    <definedName name="_Sort" localSheetId="4" hidden="1">#REF!</definedName>
    <definedName name="_Sort" localSheetId="5" hidden="1">#REF!</definedName>
    <definedName name="_Sort" hidden="1">#REF!</definedName>
    <definedName name="_TL1" localSheetId="2">#REF!</definedName>
    <definedName name="_TL1" localSheetId="3">#REF!</definedName>
    <definedName name="_TL1" localSheetId="4">#REF!</definedName>
    <definedName name="_TL1" localSheetId="5">#REF!</definedName>
    <definedName name="_TL1">#REF!</definedName>
    <definedName name="_TL2" localSheetId="2">#REF!</definedName>
    <definedName name="_TL2" localSheetId="3">#REF!</definedName>
    <definedName name="_TL2" localSheetId="4">#REF!</definedName>
    <definedName name="_TL2" localSheetId="5">#REF!</definedName>
    <definedName name="_TL2">#REF!</definedName>
    <definedName name="_TL3" localSheetId="2">#REF!</definedName>
    <definedName name="_TL3" localSheetId="3">#REF!</definedName>
    <definedName name="_TL3" localSheetId="4">#REF!</definedName>
    <definedName name="_TL3" localSheetId="5">#REF!</definedName>
    <definedName name="_TL3">#REF!</definedName>
    <definedName name="_TLA120" localSheetId="2">#REF!</definedName>
    <definedName name="_TLA120" localSheetId="3">#REF!</definedName>
    <definedName name="_TLA120" localSheetId="4">#REF!</definedName>
    <definedName name="_TLA120" localSheetId="5">#REF!</definedName>
    <definedName name="_TLA120">#REF!</definedName>
    <definedName name="_TLA35" localSheetId="2">#REF!</definedName>
    <definedName name="_TLA35" localSheetId="3">#REF!</definedName>
    <definedName name="_TLA35" localSheetId="4">#REF!</definedName>
    <definedName name="_TLA35" localSheetId="5">#REF!</definedName>
    <definedName name="_TLA35">#REF!</definedName>
    <definedName name="_TLA50" localSheetId="2">#REF!</definedName>
    <definedName name="_TLA50" localSheetId="3">#REF!</definedName>
    <definedName name="_TLA50" localSheetId="4">#REF!</definedName>
    <definedName name="_TLA50" localSheetId="5">#REF!</definedName>
    <definedName name="_TLA50">#REF!</definedName>
    <definedName name="_TLA70" localSheetId="2">#REF!</definedName>
    <definedName name="_TLA70" localSheetId="3">#REF!</definedName>
    <definedName name="_TLA70" localSheetId="4">#REF!</definedName>
    <definedName name="_TLA70" localSheetId="5">#REF!</definedName>
    <definedName name="_TLA70">#REF!</definedName>
    <definedName name="_TLA95" localSheetId="2">#REF!</definedName>
    <definedName name="_TLA95" localSheetId="3">#REF!</definedName>
    <definedName name="_TLA95" localSheetId="4">#REF!</definedName>
    <definedName name="_TLA95" localSheetId="5">#REF!</definedName>
    <definedName name="_TLA95">#REF!</definedName>
    <definedName name="_tz593" localSheetId="2">#REF!</definedName>
    <definedName name="_tz593" localSheetId="3">#REF!</definedName>
    <definedName name="_tz593" localSheetId="4">#REF!</definedName>
    <definedName name="_tz593" localSheetId="5">#REF!</definedName>
    <definedName name="_tz593">#REF!</definedName>
    <definedName name="_VL100" localSheetId="2">#REF!</definedName>
    <definedName name="_VL100" localSheetId="3">#REF!</definedName>
    <definedName name="_VL100" localSheetId="4">#REF!</definedName>
    <definedName name="_VL100" localSheetId="5">#REF!</definedName>
    <definedName name="_VL100">#REF!</definedName>
    <definedName name="_VL200" localSheetId="2">#REF!</definedName>
    <definedName name="_VL200" localSheetId="3">#REF!</definedName>
    <definedName name="_VL200" localSheetId="4">#REF!</definedName>
    <definedName name="_VL200" localSheetId="5">#REF!</definedName>
    <definedName name="_VL200">#REF!</definedName>
    <definedName name="_VL250" localSheetId="2">#REF!</definedName>
    <definedName name="_VL250" localSheetId="3">#REF!</definedName>
    <definedName name="_VL250" localSheetId="4">#REF!</definedName>
    <definedName name="_VL250" localSheetId="5">#REF!</definedName>
    <definedName name="_VL250">#REF!</definedName>
    <definedName name="A120_" localSheetId="2">#REF!</definedName>
    <definedName name="A120_" localSheetId="3">#REF!</definedName>
    <definedName name="A120_" localSheetId="4">#REF!</definedName>
    <definedName name="A120_" localSheetId="5">#REF!</definedName>
    <definedName name="A120_">#REF!</definedName>
    <definedName name="a277Print_Titles" localSheetId="2">#REF!</definedName>
    <definedName name="a277Print_Titles" localSheetId="3">#REF!</definedName>
    <definedName name="a277Print_Titles" localSheetId="4">#REF!</definedName>
    <definedName name="a277Print_Titles" localSheetId="5">#REF!</definedName>
    <definedName name="a277Print_Titles">#REF!</definedName>
    <definedName name="A35_" localSheetId="2">#REF!</definedName>
    <definedName name="A35_" localSheetId="3">#REF!</definedName>
    <definedName name="A35_" localSheetId="4">#REF!</definedName>
    <definedName name="A35_" localSheetId="5">#REF!</definedName>
    <definedName name="A35_">#REF!</definedName>
    <definedName name="A50_" localSheetId="2">#REF!</definedName>
    <definedName name="A50_" localSheetId="3">#REF!</definedName>
    <definedName name="A50_" localSheetId="4">#REF!</definedName>
    <definedName name="A50_" localSheetId="5">#REF!</definedName>
    <definedName name="A50_">#REF!</definedName>
    <definedName name="A70_" localSheetId="2">#REF!</definedName>
    <definedName name="A70_" localSheetId="3">#REF!</definedName>
    <definedName name="A70_" localSheetId="4">#REF!</definedName>
    <definedName name="A70_" localSheetId="5">#REF!</definedName>
    <definedName name="A70_">#REF!</definedName>
    <definedName name="A95_" localSheetId="2">#REF!</definedName>
    <definedName name="A95_" localSheetId="3">#REF!</definedName>
    <definedName name="A95_" localSheetId="4">#REF!</definedName>
    <definedName name="A95_" localSheetId="5">#REF!</definedName>
    <definedName name="A95_">#REF!</definedName>
    <definedName name="AC120_" localSheetId="2">#REF!</definedName>
    <definedName name="AC120_" localSheetId="3">#REF!</definedName>
    <definedName name="AC120_" localSheetId="4">#REF!</definedName>
    <definedName name="AC120_" localSheetId="5">#REF!</definedName>
    <definedName name="AC120_">#REF!</definedName>
    <definedName name="AC35_" localSheetId="2">#REF!</definedName>
    <definedName name="AC35_" localSheetId="3">#REF!</definedName>
    <definedName name="AC35_" localSheetId="4">#REF!</definedName>
    <definedName name="AC35_" localSheetId="5">#REF!</definedName>
    <definedName name="AC35_">#REF!</definedName>
    <definedName name="AC50_" localSheetId="2">#REF!</definedName>
    <definedName name="AC50_" localSheetId="3">#REF!</definedName>
    <definedName name="AC50_" localSheetId="4">#REF!</definedName>
    <definedName name="AC50_" localSheetId="5">#REF!</definedName>
    <definedName name="AC50_">#REF!</definedName>
    <definedName name="AC70_" localSheetId="2">#REF!</definedName>
    <definedName name="AC70_" localSheetId="3">#REF!</definedName>
    <definedName name="AC70_" localSheetId="4">#REF!</definedName>
    <definedName name="AC70_" localSheetId="5">#REF!</definedName>
    <definedName name="AC70_">#REF!</definedName>
    <definedName name="AC95_" localSheetId="2">#REF!</definedName>
    <definedName name="AC95_" localSheetId="3">#REF!</definedName>
    <definedName name="AC95_" localSheetId="4">#REF!</definedName>
    <definedName name="AC95_" localSheetId="5">#REF!</definedName>
    <definedName name="AC95_">#REF!</definedName>
    <definedName name="AccessDatabase" hidden="1">"C:\Data\02042003.mdb"</definedName>
    <definedName name="ADP" localSheetId="2">#REF!</definedName>
    <definedName name="ADP" localSheetId="3">#REF!</definedName>
    <definedName name="ADP" localSheetId="4">#REF!</definedName>
    <definedName name="ADP" localSheetId="5">#REF!</definedName>
    <definedName name="ADP">#REF!</definedName>
    <definedName name="ag15F80" localSheetId="2">#REF!</definedName>
    <definedName name="ag15F80" localSheetId="3">#REF!</definedName>
    <definedName name="ag15F80" localSheetId="4">#REF!</definedName>
    <definedName name="ag15F80" localSheetId="5">#REF!</definedName>
    <definedName name="ag15F80">#REF!</definedName>
    <definedName name="AKHAC" localSheetId="2">#REF!</definedName>
    <definedName name="AKHAC" localSheetId="3">#REF!</definedName>
    <definedName name="AKHAC" localSheetId="4">#REF!</definedName>
    <definedName name="AKHAC" localSheetId="5">#REF!</definedName>
    <definedName name="AKHAC">#REF!</definedName>
    <definedName name="ALTINH" localSheetId="2">#REF!</definedName>
    <definedName name="ALTINH" localSheetId="3">#REF!</definedName>
    <definedName name="ALTINH" localSheetId="4">#REF!</definedName>
    <definedName name="ALTINH" localSheetId="5">#REF!</definedName>
    <definedName name="ALTINH">#REF!</definedName>
    <definedName name="ANN" localSheetId="2">#REF!</definedName>
    <definedName name="ANN" localSheetId="3">#REF!</definedName>
    <definedName name="ANN" localSheetId="4">#REF!</definedName>
    <definedName name="ANN" localSheetId="5">#REF!</definedName>
    <definedName name="ANN">#REF!</definedName>
    <definedName name="ANQD" localSheetId="2">#REF!</definedName>
    <definedName name="ANQD" localSheetId="3">#REF!</definedName>
    <definedName name="ANQD" localSheetId="4">#REF!</definedName>
    <definedName name="ANQD" localSheetId="5">#REF!</definedName>
    <definedName name="ANQD">#REF!</definedName>
    <definedName name="anscount" hidden="1">7</definedName>
    <definedName name="ATW" localSheetId="2">#REF!</definedName>
    <definedName name="ATW" localSheetId="3">#REF!</definedName>
    <definedName name="ATW" localSheetId="4">#REF!</definedName>
    <definedName name="ATW" localSheetId="5">#REF!</definedName>
    <definedName name="ATW">#REF!</definedName>
    <definedName name="Bang_cly" localSheetId="2">#REF!</definedName>
    <definedName name="Bang_cly" localSheetId="3">#REF!</definedName>
    <definedName name="Bang_cly" localSheetId="4">#REF!</definedName>
    <definedName name="Bang_cly" localSheetId="5">#REF!</definedName>
    <definedName name="Bang_cly">#REF!</definedName>
    <definedName name="Bang_CVC" localSheetId="2">#REF!</definedName>
    <definedName name="Bang_CVC" localSheetId="3">#REF!</definedName>
    <definedName name="Bang_CVC" localSheetId="4">#REF!</definedName>
    <definedName name="Bang_CVC" localSheetId="5">#REF!</definedName>
    <definedName name="Bang_CVC">#REF!</definedName>
    <definedName name="bang_gia" localSheetId="2">#REF!</definedName>
    <definedName name="bang_gia" localSheetId="3">#REF!</definedName>
    <definedName name="bang_gia" localSheetId="4">#REF!</definedName>
    <definedName name="bang_gia" localSheetId="5">#REF!</definedName>
    <definedName name="bang_gia">#REF!</definedName>
    <definedName name="Bang_travl" localSheetId="2">#REF!</definedName>
    <definedName name="Bang_travl" localSheetId="3">#REF!</definedName>
    <definedName name="Bang_travl" localSheetId="4">#REF!</definedName>
    <definedName name="Bang_travl" localSheetId="5">#REF!</definedName>
    <definedName name="Bang_travl">#REF!</definedName>
    <definedName name="BCAO1" localSheetId="2">#REF!</definedName>
    <definedName name="BCAO1" localSheetId="3">#REF!</definedName>
    <definedName name="BCAO1" localSheetId="4">#REF!</definedName>
    <definedName name="BCAO1" localSheetId="5">#REF!</definedName>
    <definedName name="BCAO1">#REF!</definedName>
    <definedName name="bcao10" localSheetId="2">#REF!</definedName>
    <definedName name="bcao10" localSheetId="3">#REF!</definedName>
    <definedName name="bcao10" localSheetId="4">#REF!</definedName>
    <definedName name="bcao10" localSheetId="5">#REF!</definedName>
    <definedName name="bcao10">#REF!</definedName>
    <definedName name="Bcao11" localSheetId="2">#REF!</definedName>
    <definedName name="Bcao11" localSheetId="3">#REF!</definedName>
    <definedName name="Bcao11" localSheetId="4">#REF!</definedName>
    <definedName name="Bcao11" localSheetId="5">#REF!</definedName>
    <definedName name="Bcao11">#REF!</definedName>
    <definedName name="bcao3" localSheetId="2">#REF!</definedName>
    <definedName name="bcao3" localSheetId="3">#REF!</definedName>
    <definedName name="bcao3" localSheetId="4">#REF!</definedName>
    <definedName name="bcao3" localSheetId="5">#REF!</definedName>
    <definedName name="bcao3">#REF!</definedName>
    <definedName name="bcao4" localSheetId="2">#REF!</definedName>
    <definedName name="bcao4" localSheetId="3">#REF!</definedName>
    <definedName name="bcao4" localSheetId="4">#REF!</definedName>
    <definedName name="bcao4" localSheetId="5">#REF!</definedName>
    <definedName name="bcao4">#REF!</definedName>
    <definedName name="bcao5" localSheetId="2">#REF!</definedName>
    <definedName name="bcao5" localSheetId="3">#REF!</definedName>
    <definedName name="bcao5" localSheetId="4">#REF!</definedName>
    <definedName name="bcao5" localSheetId="5">#REF!</definedName>
    <definedName name="bcao5">#REF!</definedName>
    <definedName name="bcao6" localSheetId="2">#REF!</definedName>
    <definedName name="bcao6" localSheetId="3">#REF!</definedName>
    <definedName name="bcao6" localSheetId="4">#REF!</definedName>
    <definedName name="bcao6" localSheetId="5">#REF!</definedName>
    <definedName name="bcao6">#REF!</definedName>
    <definedName name="bcao7" localSheetId="2">#REF!</definedName>
    <definedName name="bcao7" localSheetId="3">#REF!</definedName>
    <definedName name="bcao7" localSheetId="4">#REF!</definedName>
    <definedName name="bcao7" localSheetId="5">#REF!</definedName>
    <definedName name="bcao7">#REF!</definedName>
    <definedName name="bcao8" localSheetId="2">#REF!</definedName>
    <definedName name="bcao8" localSheetId="3">#REF!</definedName>
    <definedName name="bcao8" localSheetId="4">#REF!</definedName>
    <definedName name="bcao8" localSheetId="5">#REF!</definedName>
    <definedName name="bcao8">#REF!</definedName>
    <definedName name="bcao9" localSheetId="2">#REF!</definedName>
    <definedName name="bcao9" localSheetId="3">#REF!</definedName>
    <definedName name="bcao9" localSheetId="4">#REF!</definedName>
    <definedName name="bcao9" localSheetId="5">#REF!</definedName>
    <definedName name="bcao9">#REF!</definedName>
    <definedName name="bia" localSheetId="2">#REF!</definedName>
    <definedName name="bia" localSheetId="3">#REF!</definedName>
    <definedName name="bia" localSheetId="4">#REF!</definedName>
    <definedName name="bia" localSheetId="5">#REF!</definedName>
    <definedName name="bia">#REF!</definedName>
    <definedName name="BOQ" localSheetId="2">#REF!</definedName>
    <definedName name="BOQ" localSheetId="3">#REF!</definedName>
    <definedName name="BOQ" localSheetId="4">#REF!</definedName>
    <definedName name="BOQ" localSheetId="5">#REF!</definedName>
    <definedName name="BOQ">#REF!</definedName>
    <definedName name="BQLDATBTA" localSheetId="2">#REF!</definedName>
    <definedName name="BQLDATBTA" localSheetId="3">#REF!</definedName>
    <definedName name="BQLDATBTA" localSheetId="4">#REF!</definedName>
    <definedName name="BQLDATBTA" localSheetId="5">#REF!</definedName>
    <definedName name="BQLDATBTA">#REF!</definedName>
    <definedName name="BQLDAXLT" localSheetId="2">#REF!</definedName>
    <definedName name="BQLDAXLT" localSheetId="3">#REF!</definedName>
    <definedName name="BQLDAXLT" localSheetId="4">#REF!</definedName>
    <definedName name="BQLDAXLT" localSheetId="5">#REF!</definedName>
    <definedName name="BQLDAXLT">#REF!</definedName>
    <definedName name="BT" localSheetId="2">#REF!</definedName>
    <definedName name="BT" localSheetId="3">#REF!</definedName>
    <definedName name="BT" localSheetId="4">#REF!</definedName>
    <definedName name="BT" localSheetId="5">#REF!</definedName>
    <definedName name="BT">#REF!</definedName>
    <definedName name="Button_1">"X02042003_DATABASE__2__List"</definedName>
    <definedName name="BVCISUMMARY" localSheetId="2">#REF!</definedName>
    <definedName name="BVCISUMMARY" localSheetId="3">#REF!</definedName>
    <definedName name="BVCISUMMARY" localSheetId="4">#REF!</definedName>
    <definedName name="BVCISUMMARY" localSheetId="5">#REF!</definedName>
    <definedName name="BVCISUMMARY">#REF!</definedName>
    <definedName name="C.1.1..Phat_tuyen" localSheetId="2">#REF!</definedName>
    <definedName name="C.1.1..Phat_tuyen" localSheetId="3">#REF!</definedName>
    <definedName name="C.1.1..Phat_tuyen" localSheetId="4">#REF!</definedName>
    <definedName name="C.1.1..Phat_tuyen" localSheetId="5">#REF!</definedName>
    <definedName name="C.1.1..Phat_tuyen">#REF!</definedName>
    <definedName name="C.1.10..VC_Thu_cong_CG" localSheetId="2">#REF!</definedName>
    <definedName name="C.1.10..VC_Thu_cong_CG" localSheetId="3">#REF!</definedName>
    <definedName name="C.1.10..VC_Thu_cong_CG" localSheetId="4">#REF!</definedName>
    <definedName name="C.1.10..VC_Thu_cong_CG" localSheetId="5">#REF!</definedName>
    <definedName name="C.1.10..VC_Thu_cong_CG">#REF!</definedName>
    <definedName name="C.1.2..Chat_cay_thu_cong" localSheetId="2">#REF!</definedName>
    <definedName name="C.1.2..Chat_cay_thu_cong" localSheetId="3">#REF!</definedName>
    <definedName name="C.1.2..Chat_cay_thu_cong" localSheetId="4">#REF!</definedName>
    <definedName name="C.1.2..Chat_cay_thu_cong" localSheetId="5">#REF!</definedName>
    <definedName name="C.1.2..Chat_cay_thu_cong">#REF!</definedName>
    <definedName name="C.1.3..Chat_cay_may" localSheetId="2">#REF!</definedName>
    <definedName name="C.1.3..Chat_cay_may" localSheetId="3">#REF!</definedName>
    <definedName name="C.1.3..Chat_cay_may" localSheetId="4">#REF!</definedName>
    <definedName name="C.1.3..Chat_cay_may" localSheetId="5">#REF!</definedName>
    <definedName name="C.1.3..Chat_cay_may">#REF!</definedName>
    <definedName name="C.1.4..Dao_goc_cay" localSheetId="2">#REF!</definedName>
    <definedName name="C.1.4..Dao_goc_cay" localSheetId="3">#REF!</definedName>
    <definedName name="C.1.4..Dao_goc_cay" localSheetId="4">#REF!</definedName>
    <definedName name="C.1.4..Dao_goc_cay" localSheetId="5">#REF!</definedName>
    <definedName name="C.1.4..Dao_goc_cay">#REF!</definedName>
    <definedName name="C.1.5..Lam_duong_tam" localSheetId="2">#REF!</definedName>
    <definedName name="C.1.5..Lam_duong_tam" localSheetId="3">#REF!</definedName>
    <definedName name="C.1.5..Lam_duong_tam" localSheetId="4">#REF!</definedName>
    <definedName name="C.1.5..Lam_duong_tam" localSheetId="5">#REF!</definedName>
    <definedName name="C.1.5..Lam_duong_tam">#REF!</definedName>
    <definedName name="C.1.6..Lam_cau_tam" localSheetId="2">#REF!</definedName>
    <definedName name="C.1.6..Lam_cau_tam" localSheetId="3">#REF!</definedName>
    <definedName name="C.1.6..Lam_cau_tam" localSheetId="4">#REF!</definedName>
    <definedName name="C.1.6..Lam_cau_tam" localSheetId="5">#REF!</definedName>
    <definedName name="C.1.6..Lam_cau_tam">#REF!</definedName>
    <definedName name="C.1.7..Rai_da_chong_lun" localSheetId="2">#REF!</definedName>
    <definedName name="C.1.7..Rai_da_chong_lun" localSheetId="3">#REF!</definedName>
    <definedName name="C.1.7..Rai_da_chong_lun" localSheetId="4">#REF!</definedName>
    <definedName name="C.1.7..Rai_da_chong_lun" localSheetId="5">#REF!</definedName>
    <definedName name="C.1.7..Rai_da_chong_lun">#REF!</definedName>
    <definedName name="C.1.8..Lam_kho_tam" localSheetId="2">#REF!</definedName>
    <definedName name="C.1.8..Lam_kho_tam" localSheetId="3">#REF!</definedName>
    <definedName name="C.1.8..Lam_kho_tam" localSheetId="4">#REF!</definedName>
    <definedName name="C.1.8..Lam_kho_tam" localSheetId="5">#REF!</definedName>
    <definedName name="C.1.8..Lam_kho_tam">#REF!</definedName>
    <definedName name="C.1.8..San_mat_bang" localSheetId="2">#REF!</definedName>
    <definedName name="C.1.8..San_mat_bang" localSheetId="3">#REF!</definedName>
    <definedName name="C.1.8..San_mat_bang" localSheetId="4">#REF!</definedName>
    <definedName name="C.1.8..San_mat_bang" localSheetId="5">#REF!</definedName>
    <definedName name="C.1.8..San_mat_bang">#REF!</definedName>
    <definedName name="C.2.1..VC_Thu_cong" localSheetId="2">#REF!</definedName>
    <definedName name="C.2.1..VC_Thu_cong" localSheetId="3">#REF!</definedName>
    <definedName name="C.2.1..VC_Thu_cong" localSheetId="4">#REF!</definedName>
    <definedName name="C.2.1..VC_Thu_cong" localSheetId="5">#REF!</definedName>
    <definedName name="C.2.1..VC_Thu_cong">#REF!</definedName>
    <definedName name="C.2.2..VC_T_cong_CG" localSheetId="2">#REF!</definedName>
    <definedName name="C.2.2..VC_T_cong_CG" localSheetId="3">#REF!</definedName>
    <definedName name="C.2.2..VC_T_cong_CG" localSheetId="4">#REF!</definedName>
    <definedName name="C.2.2..VC_T_cong_CG" localSheetId="5">#REF!</definedName>
    <definedName name="C.2.2..VC_T_cong_CG">#REF!</definedName>
    <definedName name="C.2.3..Boc_do" localSheetId="2">#REF!</definedName>
    <definedName name="C.2.3..Boc_do" localSheetId="3">#REF!</definedName>
    <definedName name="C.2.3..Boc_do" localSheetId="4">#REF!</definedName>
    <definedName name="C.2.3..Boc_do" localSheetId="5">#REF!</definedName>
    <definedName name="C.2.3..Boc_do">#REF!</definedName>
    <definedName name="C.3.1..Dao_dat_mong_cot" localSheetId="2">#REF!</definedName>
    <definedName name="C.3.1..Dao_dat_mong_cot" localSheetId="3">#REF!</definedName>
    <definedName name="C.3.1..Dao_dat_mong_cot" localSheetId="4">#REF!</definedName>
    <definedName name="C.3.1..Dao_dat_mong_cot" localSheetId="5">#REF!</definedName>
    <definedName name="C.3.1..Dao_dat_mong_cot">#REF!</definedName>
    <definedName name="C.3.2..Dao_dat_de_dap" localSheetId="2">#REF!</definedName>
    <definedName name="C.3.2..Dao_dat_de_dap" localSheetId="3">#REF!</definedName>
    <definedName name="C.3.2..Dao_dat_de_dap" localSheetId="4">#REF!</definedName>
    <definedName name="C.3.2..Dao_dat_de_dap" localSheetId="5">#REF!</definedName>
    <definedName name="C.3.2..Dao_dat_de_dap">#REF!</definedName>
    <definedName name="C.3.3..Dap_dat_mong" localSheetId="2">#REF!</definedName>
    <definedName name="C.3.3..Dap_dat_mong" localSheetId="3">#REF!</definedName>
    <definedName name="C.3.3..Dap_dat_mong" localSheetId="4">#REF!</definedName>
    <definedName name="C.3.3..Dap_dat_mong" localSheetId="5">#REF!</definedName>
    <definedName name="C.3.3..Dap_dat_mong">#REF!</definedName>
    <definedName name="C.3.4..Dao_dap_TDia" localSheetId="2">#REF!</definedName>
    <definedName name="C.3.4..Dao_dap_TDia" localSheetId="3">#REF!</definedName>
    <definedName name="C.3.4..Dao_dap_TDia" localSheetId="4">#REF!</definedName>
    <definedName name="C.3.4..Dao_dap_TDia" localSheetId="5">#REF!</definedName>
    <definedName name="C.3.4..Dao_dap_TDia">#REF!</definedName>
    <definedName name="C.3.5..Dap_bo_bao" localSheetId="2">#REF!</definedName>
    <definedName name="C.3.5..Dap_bo_bao" localSheetId="3">#REF!</definedName>
    <definedName name="C.3.5..Dap_bo_bao" localSheetId="4">#REF!</definedName>
    <definedName name="C.3.5..Dap_bo_bao" localSheetId="5">#REF!</definedName>
    <definedName name="C.3.5..Dap_bo_bao">#REF!</definedName>
    <definedName name="C.3.6..Bom_tat_nuoc" localSheetId="2">#REF!</definedName>
    <definedName name="C.3.6..Bom_tat_nuoc" localSheetId="3">#REF!</definedName>
    <definedName name="C.3.6..Bom_tat_nuoc" localSheetId="4">#REF!</definedName>
    <definedName name="C.3.6..Bom_tat_nuoc" localSheetId="5">#REF!</definedName>
    <definedName name="C.3.6..Bom_tat_nuoc">#REF!</definedName>
    <definedName name="C.3.7..Dao_bun" localSheetId="2">#REF!</definedName>
    <definedName name="C.3.7..Dao_bun" localSheetId="3">#REF!</definedName>
    <definedName name="C.3.7..Dao_bun" localSheetId="4">#REF!</definedName>
    <definedName name="C.3.7..Dao_bun" localSheetId="5">#REF!</definedName>
    <definedName name="C.3.7..Dao_bun">#REF!</definedName>
    <definedName name="C.3.8..Dap_cat_CT" localSheetId="2">#REF!</definedName>
    <definedName name="C.3.8..Dap_cat_CT" localSheetId="3">#REF!</definedName>
    <definedName name="C.3.8..Dap_cat_CT" localSheetId="4">#REF!</definedName>
    <definedName name="C.3.8..Dap_cat_CT" localSheetId="5">#REF!</definedName>
    <definedName name="C.3.8..Dap_cat_CT">#REF!</definedName>
    <definedName name="C.3.9..Dao_pha_da" localSheetId="2">#REF!</definedName>
    <definedName name="C.3.9..Dao_pha_da" localSheetId="3">#REF!</definedName>
    <definedName name="C.3.9..Dao_pha_da" localSheetId="4">#REF!</definedName>
    <definedName name="C.3.9..Dao_pha_da" localSheetId="5">#REF!</definedName>
    <definedName name="C.3.9..Dao_pha_da">#REF!</definedName>
    <definedName name="C.4.1.Cot_thep" localSheetId="2">#REF!</definedName>
    <definedName name="C.4.1.Cot_thep" localSheetId="3">#REF!</definedName>
    <definedName name="C.4.1.Cot_thep" localSheetId="4">#REF!</definedName>
    <definedName name="C.4.1.Cot_thep" localSheetId="5">#REF!</definedName>
    <definedName name="C.4.1.Cot_thep">#REF!</definedName>
    <definedName name="C.4.2..Van_khuon" localSheetId="2">#REF!</definedName>
    <definedName name="C.4.2..Van_khuon" localSheetId="3">#REF!</definedName>
    <definedName name="C.4.2..Van_khuon" localSheetId="4">#REF!</definedName>
    <definedName name="C.4.2..Van_khuon" localSheetId="5">#REF!</definedName>
    <definedName name="C.4.2..Van_khuon">#REF!</definedName>
    <definedName name="C.4.3..Be_tong" localSheetId="2">#REF!</definedName>
    <definedName name="C.4.3..Be_tong" localSheetId="3">#REF!</definedName>
    <definedName name="C.4.3..Be_tong" localSheetId="4">#REF!</definedName>
    <definedName name="C.4.3..Be_tong" localSheetId="5">#REF!</definedName>
    <definedName name="C.4.3..Be_tong">#REF!</definedName>
    <definedName name="C.4.4..Lap_BT_D.San" localSheetId="2">#REF!</definedName>
    <definedName name="C.4.4..Lap_BT_D.San" localSheetId="3">#REF!</definedName>
    <definedName name="C.4.4..Lap_BT_D.San" localSheetId="4">#REF!</definedName>
    <definedName name="C.4.4..Lap_BT_D.San" localSheetId="5">#REF!</definedName>
    <definedName name="C.4.4..Lap_BT_D.San">#REF!</definedName>
    <definedName name="C.4.5..Xay_da_hoc" localSheetId="2">#REF!</definedName>
    <definedName name="C.4.5..Xay_da_hoc" localSheetId="3">#REF!</definedName>
    <definedName name="C.4.5..Xay_da_hoc" localSheetId="4">#REF!</definedName>
    <definedName name="C.4.5..Xay_da_hoc" localSheetId="5">#REF!</definedName>
    <definedName name="C.4.5..Xay_da_hoc">#REF!</definedName>
    <definedName name="C.4.6..Dong_coc" localSheetId="2">#REF!</definedName>
    <definedName name="C.4.6..Dong_coc" localSheetId="3">#REF!</definedName>
    <definedName name="C.4.6..Dong_coc" localSheetId="4">#REF!</definedName>
    <definedName name="C.4.6..Dong_coc" localSheetId="5">#REF!</definedName>
    <definedName name="C.4.6..Dong_coc">#REF!</definedName>
    <definedName name="C.4.7..Quet_Bi_tum" localSheetId="2">#REF!</definedName>
    <definedName name="C.4.7..Quet_Bi_tum" localSheetId="3">#REF!</definedName>
    <definedName name="C.4.7..Quet_Bi_tum" localSheetId="4">#REF!</definedName>
    <definedName name="C.4.7..Quet_Bi_tum" localSheetId="5">#REF!</definedName>
    <definedName name="C.4.7..Quet_Bi_tum">#REF!</definedName>
    <definedName name="C.5.1..Lap_cot_thep" localSheetId="2">#REF!</definedName>
    <definedName name="C.5.1..Lap_cot_thep" localSheetId="3">#REF!</definedName>
    <definedName name="C.5.1..Lap_cot_thep" localSheetId="4">#REF!</definedName>
    <definedName name="C.5.1..Lap_cot_thep" localSheetId="5">#REF!</definedName>
    <definedName name="C.5.1..Lap_cot_thep">#REF!</definedName>
    <definedName name="C.5.2..Lap_cot_BT" localSheetId="2">#REF!</definedName>
    <definedName name="C.5.2..Lap_cot_BT" localSheetId="3">#REF!</definedName>
    <definedName name="C.5.2..Lap_cot_BT" localSheetId="4">#REF!</definedName>
    <definedName name="C.5.2..Lap_cot_BT" localSheetId="5">#REF!</definedName>
    <definedName name="C.5.2..Lap_cot_BT">#REF!</definedName>
    <definedName name="C.5.3..Lap_dat_xa" localSheetId="2">#REF!</definedName>
    <definedName name="C.5.3..Lap_dat_xa" localSheetId="3">#REF!</definedName>
    <definedName name="C.5.3..Lap_dat_xa" localSheetId="4">#REF!</definedName>
    <definedName name="C.5.3..Lap_dat_xa" localSheetId="5">#REF!</definedName>
    <definedName name="C.5.3..Lap_dat_xa">#REF!</definedName>
    <definedName name="C.5.4..Lap_tiep_dia" localSheetId="2">#REF!</definedName>
    <definedName name="C.5.4..Lap_tiep_dia" localSheetId="3">#REF!</definedName>
    <definedName name="C.5.4..Lap_tiep_dia" localSheetId="4">#REF!</definedName>
    <definedName name="C.5.4..Lap_tiep_dia" localSheetId="5">#REF!</definedName>
    <definedName name="C.5.4..Lap_tiep_dia">#REF!</definedName>
    <definedName name="C.5.5..Son_sat_thep" localSheetId="2">#REF!</definedName>
    <definedName name="C.5.5..Son_sat_thep" localSheetId="3">#REF!</definedName>
    <definedName name="C.5.5..Son_sat_thep" localSheetId="4">#REF!</definedName>
    <definedName name="C.5.5..Son_sat_thep" localSheetId="5">#REF!</definedName>
    <definedName name="C.5.5..Son_sat_thep">#REF!</definedName>
    <definedName name="C.6.1..Lap_su_dung" localSheetId="2">#REF!</definedName>
    <definedName name="C.6.1..Lap_su_dung" localSheetId="3">#REF!</definedName>
    <definedName name="C.6.1..Lap_su_dung" localSheetId="4">#REF!</definedName>
    <definedName name="C.6.1..Lap_su_dung" localSheetId="5">#REF!</definedName>
    <definedName name="C.6.1..Lap_su_dung">#REF!</definedName>
    <definedName name="C.6.2..Lap_su_CS" localSheetId="2">#REF!</definedName>
    <definedName name="C.6.2..Lap_su_CS" localSheetId="3">#REF!</definedName>
    <definedName name="C.6.2..Lap_su_CS" localSheetId="4">#REF!</definedName>
    <definedName name="C.6.2..Lap_su_CS" localSheetId="5">#REF!</definedName>
    <definedName name="C.6.2..Lap_su_CS">#REF!</definedName>
    <definedName name="C.6.3..Su_chuoi_do" localSheetId="2">#REF!</definedName>
    <definedName name="C.6.3..Su_chuoi_do" localSheetId="3">#REF!</definedName>
    <definedName name="C.6.3..Su_chuoi_do" localSheetId="4">#REF!</definedName>
    <definedName name="C.6.3..Su_chuoi_do" localSheetId="5">#REF!</definedName>
    <definedName name="C.6.3..Su_chuoi_do">#REF!</definedName>
    <definedName name="C.6.4..Su_chuoi_neo" localSheetId="2">#REF!</definedName>
    <definedName name="C.6.4..Su_chuoi_neo" localSheetId="3">#REF!</definedName>
    <definedName name="C.6.4..Su_chuoi_neo" localSheetId="4">#REF!</definedName>
    <definedName name="C.6.4..Su_chuoi_neo" localSheetId="5">#REF!</definedName>
    <definedName name="C.6.4..Su_chuoi_neo">#REF!</definedName>
    <definedName name="C.6.5..Lap_phu_kien" localSheetId="2">#REF!</definedName>
    <definedName name="C.6.5..Lap_phu_kien" localSheetId="3">#REF!</definedName>
    <definedName name="C.6.5..Lap_phu_kien" localSheetId="4">#REF!</definedName>
    <definedName name="C.6.5..Lap_phu_kien" localSheetId="5">#REF!</definedName>
    <definedName name="C.6.5..Lap_phu_kien">#REF!</definedName>
    <definedName name="C.6.6..Ep_noi_day" localSheetId="2">#REF!</definedName>
    <definedName name="C.6.6..Ep_noi_day" localSheetId="3">#REF!</definedName>
    <definedName name="C.6.6..Ep_noi_day" localSheetId="4">#REF!</definedName>
    <definedName name="C.6.6..Ep_noi_day" localSheetId="5">#REF!</definedName>
    <definedName name="C.6.6..Ep_noi_day">#REF!</definedName>
    <definedName name="C.6.7..KD_vuot_CN" localSheetId="2">#REF!</definedName>
    <definedName name="C.6.7..KD_vuot_CN" localSheetId="3">#REF!</definedName>
    <definedName name="C.6.7..KD_vuot_CN" localSheetId="4">#REF!</definedName>
    <definedName name="C.6.7..KD_vuot_CN" localSheetId="5">#REF!</definedName>
    <definedName name="C.6.7..KD_vuot_CN">#REF!</definedName>
    <definedName name="C.6.8..Rai_cang_day" localSheetId="2">#REF!</definedName>
    <definedName name="C.6.8..Rai_cang_day" localSheetId="3">#REF!</definedName>
    <definedName name="C.6.8..Rai_cang_day" localSheetId="4">#REF!</definedName>
    <definedName name="C.6.8..Rai_cang_day" localSheetId="5">#REF!</definedName>
    <definedName name="C.6.8..Rai_cang_day">#REF!</definedName>
    <definedName name="C.6.9..Cap_quang" localSheetId="2">#REF!</definedName>
    <definedName name="C.6.9..Cap_quang" localSheetId="3">#REF!</definedName>
    <definedName name="C.6.9..Cap_quang" localSheetId="4">#REF!</definedName>
    <definedName name="C.6.9..Cap_quang" localSheetId="5">#REF!</definedName>
    <definedName name="C.6.9..Cap_quang">#REF!</definedName>
    <definedName name="Can_doi" localSheetId="2">#REF!</definedName>
    <definedName name="Can_doi" localSheetId="3">#REF!</definedName>
    <definedName name="Can_doi" localSheetId="4">#REF!</definedName>
    <definedName name="Can_doi" localSheetId="5">#REF!</definedName>
    <definedName name="Can_doi">#REF!</definedName>
    <definedName name="CCS" localSheetId="2">#REF!</definedName>
    <definedName name="CCS" localSheetId="3">#REF!</definedName>
    <definedName name="CCS" localSheetId="4">#REF!</definedName>
    <definedName name="CCS" localSheetId="5">#REF!</definedName>
    <definedName name="CCS">#REF!</definedName>
    <definedName name="CDD" localSheetId="2">#REF!</definedName>
    <definedName name="CDD" localSheetId="3">#REF!</definedName>
    <definedName name="CDD" localSheetId="4">#REF!</definedName>
    <definedName name="CDD" localSheetId="5">#REF!</definedName>
    <definedName name="CDD">#REF!</definedName>
    <definedName name="CK" localSheetId="2">#REF!</definedName>
    <definedName name="CK" localSheetId="3">#REF!</definedName>
    <definedName name="CK" localSheetId="4">#REF!</definedName>
    <definedName name="CK" localSheetId="5">#REF!</definedName>
    <definedName name="CK">#REF!</definedName>
    <definedName name="CLVC3">0.1</definedName>
    <definedName name="CLVCTB" localSheetId="2">#REF!</definedName>
    <definedName name="CLVCTB" localSheetId="3">#REF!</definedName>
    <definedName name="CLVCTB" localSheetId="4">#REF!</definedName>
    <definedName name="CLVCTB" localSheetId="5">#REF!</definedName>
    <definedName name="CLVCTB">#REF!</definedName>
    <definedName name="Co" localSheetId="2">#REF!</definedName>
    <definedName name="Co" localSheetId="3">#REF!</definedName>
    <definedName name="Co" localSheetId="4">#REF!</definedName>
    <definedName name="Co" localSheetId="5">#REF!</definedName>
    <definedName name="Co">#REF!</definedName>
    <definedName name="Cöï_ly_vaän_chuyeãn" localSheetId="2">#REF!</definedName>
    <definedName name="Cöï_ly_vaän_chuyeãn" localSheetId="3">#REF!</definedName>
    <definedName name="Cöï_ly_vaän_chuyeãn" localSheetId="4">#REF!</definedName>
    <definedName name="Cöï_ly_vaän_chuyeãn" localSheetId="5">#REF!</definedName>
    <definedName name="Cöï_ly_vaän_chuyeãn">#REF!</definedName>
    <definedName name="CÖÏ_LY_VAÄN_CHUYEÅN" localSheetId="2">#REF!</definedName>
    <definedName name="CÖÏ_LY_VAÄN_CHUYEÅN" localSheetId="3">#REF!</definedName>
    <definedName name="CÖÏ_LY_VAÄN_CHUYEÅN" localSheetId="4">#REF!</definedName>
    <definedName name="CÖÏ_LY_VAÄN_CHUYEÅN" localSheetId="5">#REF!</definedName>
    <definedName name="CÖÏ_LY_VAÄN_CHUYEÅN">#REF!</definedName>
    <definedName name="CommitDN" localSheetId="2">#REF!</definedName>
    <definedName name="CommitDN" localSheetId="3">#REF!</definedName>
    <definedName name="CommitDN" localSheetId="4">#REF!</definedName>
    <definedName name="CommitDN" localSheetId="5">#REF!</definedName>
    <definedName name="CommitDN">#REF!</definedName>
    <definedName name="CommitHCMN" localSheetId="2">#REF!</definedName>
    <definedName name="CommitHCMN" localSheetId="3">#REF!</definedName>
    <definedName name="CommitHCMN" localSheetId="4">#REF!</definedName>
    <definedName name="CommitHCMN" localSheetId="5">#REF!</definedName>
    <definedName name="CommitHCMN">#REF!</definedName>
    <definedName name="CommitHCMS" localSheetId="2">#REF!</definedName>
    <definedName name="CommitHCMS" localSheetId="3">#REF!</definedName>
    <definedName name="CommitHCMS" localSheetId="4">#REF!</definedName>
    <definedName name="CommitHCMS" localSheetId="5">#REF!</definedName>
    <definedName name="CommitHCMS">#REF!</definedName>
    <definedName name="CommitHN" localSheetId="2">#REF!</definedName>
    <definedName name="CommitHN" localSheetId="3">#REF!</definedName>
    <definedName name="CommitHN" localSheetId="4">#REF!</definedName>
    <definedName name="CommitHN" localSheetId="5">#REF!</definedName>
    <definedName name="CommitHN">#REF!</definedName>
    <definedName name="CommitMekong" localSheetId="2">#REF!</definedName>
    <definedName name="CommitMekong" localSheetId="3">#REF!</definedName>
    <definedName name="CommitMekong" localSheetId="4">#REF!</definedName>
    <definedName name="CommitMekong" localSheetId="5">#REF!</definedName>
    <definedName name="CommitMekong">#REF!</definedName>
    <definedName name="Commitment" localSheetId="2">#REF!</definedName>
    <definedName name="Commitment" localSheetId="3">#REF!</definedName>
    <definedName name="Commitment" localSheetId="4">#REF!</definedName>
    <definedName name="Commitment" localSheetId="5">#REF!</definedName>
    <definedName name="Commitment">#REF!</definedName>
    <definedName name="CommitMienDong" localSheetId="2">#REF!</definedName>
    <definedName name="CommitMienDong" localSheetId="3">#REF!</definedName>
    <definedName name="CommitMienDong" localSheetId="4">#REF!</definedName>
    <definedName name="CommitMienDong" localSheetId="5">#REF!</definedName>
    <definedName name="CommitMienDong">#REF!</definedName>
    <definedName name="CommitNT" localSheetId="2">#REF!</definedName>
    <definedName name="CommitNT" localSheetId="3">#REF!</definedName>
    <definedName name="CommitNT" localSheetId="4">#REF!</definedName>
    <definedName name="CommitNT" localSheetId="5">#REF!</definedName>
    <definedName name="CommitNT">#REF!</definedName>
    <definedName name="COMMON" localSheetId="2">#REF!</definedName>
    <definedName name="COMMON" localSheetId="3">#REF!</definedName>
    <definedName name="COMMON" localSheetId="4">#REF!</definedName>
    <definedName name="COMMON" localSheetId="5">#REF!</definedName>
    <definedName name="COMMON">#REF!</definedName>
    <definedName name="CON_EQP_COS" localSheetId="2">#REF!</definedName>
    <definedName name="CON_EQP_COS" localSheetId="3">#REF!</definedName>
    <definedName name="CON_EQP_COS" localSheetId="4">#REF!</definedName>
    <definedName name="CON_EQP_COS" localSheetId="5">#REF!</definedName>
    <definedName name="CON_EQP_COS">#REF!</definedName>
    <definedName name="Cong_HM_DTCT" localSheetId="2">#REF!</definedName>
    <definedName name="Cong_HM_DTCT" localSheetId="3">#REF!</definedName>
    <definedName name="Cong_HM_DTCT" localSheetId="4">#REF!</definedName>
    <definedName name="Cong_HM_DTCT" localSheetId="5">#REF!</definedName>
    <definedName name="Cong_HM_DTCT">#REF!</definedName>
    <definedName name="Cong_M_DTCT" localSheetId="2">#REF!</definedName>
    <definedName name="Cong_M_DTCT" localSheetId="3">#REF!</definedName>
    <definedName name="Cong_M_DTCT" localSheetId="4">#REF!</definedName>
    <definedName name="Cong_M_DTCT" localSheetId="5">#REF!</definedName>
    <definedName name="Cong_M_DTCT">#REF!</definedName>
    <definedName name="Cong_NC_DTCT" localSheetId="2">#REF!</definedName>
    <definedName name="Cong_NC_DTCT" localSheetId="3">#REF!</definedName>
    <definedName name="Cong_NC_DTCT" localSheetId="4">#REF!</definedName>
    <definedName name="Cong_NC_DTCT" localSheetId="5">#REF!</definedName>
    <definedName name="Cong_NC_DTCT">#REF!</definedName>
    <definedName name="Cong_VL_DTCT" localSheetId="2">#REF!</definedName>
    <definedName name="Cong_VL_DTCT" localSheetId="3">#REF!</definedName>
    <definedName name="Cong_VL_DTCT" localSheetId="4">#REF!</definedName>
    <definedName name="Cong_VL_DTCT" localSheetId="5">#REF!</definedName>
    <definedName name="Cong_VL_DTCT">#REF!</definedName>
    <definedName name="COVER" localSheetId="2">#REF!</definedName>
    <definedName name="COVER" localSheetId="3">#REF!</definedName>
    <definedName name="COVER" localSheetId="4">#REF!</definedName>
    <definedName name="COVER" localSheetId="5">#REF!</definedName>
    <definedName name="COVER">#REF!</definedName>
    <definedName name="CPKDP" localSheetId="2">#REF!</definedName>
    <definedName name="CPKDP" localSheetId="3">#REF!</definedName>
    <definedName name="CPKDP" localSheetId="4">#REF!</definedName>
    <definedName name="CPKDP" localSheetId="5">#REF!</definedName>
    <definedName name="CPKDP">#REF!</definedName>
    <definedName name="CPKTW" localSheetId="2">#REF!</definedName>
    <definedName name="CPKTW" localSheetId="3">#REF!</definedName>
    <definedName name="CPKTW" localSheetId="4">#REF!</definedName>
    <definedName name="CPKTW" localSheetId="5">#REF!</definedName>
    <definedName name="CPKTW">#REF!</definedName>
    <definedName name="CPT" localSheetId="2">#REF!</definedName>
    <definedName name="CPT" localSheetId="3">#REF!</definedName>
    <definedName name="CPT" localSheetId="4">#REF!</definedName>
    <definedName name="CPT" localSheetId="5">#REF!</definedName>
    <definedName name="CPT">#REF!</definedName>
    <definedName name="cptkdp" localSheetId="2">#REF!</definedName>
    <definedName name="cptkdp" localSheetId="3">#REF!</definedName>
    <definedName name="cptkdp" localSheetId="4">#REF!</definedName>
    <definedName name="cptkdp" localSheetId="5">#REF!</definedName>
    <definedName name="cptkdp">#REF!</definedName>
    <definedName name="CPVC100" localSheetId="2">#REF!</definedName>
    <definedName name="CPVC100" localSheetId="3">#REF!</definedName>
    <definedName name="CPVC100" localSheetId="4">#REF!</definedName>
    <definedName name="CPVC100" localSheetId="5">#REF!</definedName>
    <definedName name="CPVC100">#REF!</definedName>
    <definedName name="CRD" localSheetId="2">#REF!</definedName>
    <definedName name="CRD" localSheetId="3">#REF!</definedName>
    <definedName name="CRD" localSheetId="4">#REF!</definedName>
    <definedName name="CRD" localSheetId="5">#REF!</definedName>
    <definedName name="CRD">#REF!</definedName>
    <definedName name="CRITINST" localSheetId="2">#REF!</definedName>
    <definedName name="CRITINST" localSheetId="3">#REF!</definedName>
    <definedName name="CRITINST" localSheetId="4">#REF!</definedName>
    <definedName name="CRITINST" localSheetId="5">#REF!</definedName>
    <definedName name="CRITINST">#REF!</definedName>
    <definedName name="CRITPURC" localSheetId="2">#REF!</definedName>
    <definedName name="CRITPURC" localSheetId="3">#REF!</definedName>
    <definedName name="CRITPURC" localSheetId="4">#REF!</definedName>
    <definedName name="CRITPURC" localSheetId="5">#REF!</definedName>
    <definedName name="CRITPURC">#REF!</definedName>
    <definedName name="CRS" localSheetId="2">#REF!</definedName>
    <definedName name="CRS" localSheetId="3">#REF!</definedName>
    <definedName name="CRS" localSheetId="4">#REF!</definedName>
    <definedName name="CRS" localSheetId="5">#REF!</definedName>
    <definedName name="CRS">#REF!</definedName>
    <definedName name="CS" localSheetId="2">#REF!</definedName>
    <definedName name="CS" localSheetId="3">#REF!</definedName>
    <definedName name="CS" localSheetId="4">#REF!</definedName>
    <definedName name="CS" localSheetId="5">#REF!</definedName>
    <definedName name="CS">#REF!</definedName>
    <definedName name="CS_10" localSheetId="2">#REF!</definedName>
    <definedName name="CS_10" localSheetId="3">#REF!</definedName>
    <definedName name="CS_10" localSheetId="4">#REF!</definedName>
    <definedName name="CS_10" localSheetId="5">#REF!</definedName>
    <definedName name="CS_10">#REF!</definedName>
    <definedName name="CS_100" localSheetId="2">#REF!</definedName>
    <definedName name="CS_100" localSheetId="3">#REF!</definedName>
    <definedName name="CS_100" localSheetId="4">#REF!</definedName>
    <definedName name="CS_100" localSheetId="5">#REF!</definedName>
    <definedName name="CS_100">#REF!</definedName>
    <definedName name="CS_10S" localSheetId="2">#REF!</definedName>
    <definedName name="CS_10S" localSheetId="3">#REF!</definedName>
    <definedName name="CS_10S" localSheetId="4">#REF!</definedName>
    <definedName name="CS_10S" localSheetId="5">#REF!</definedName>
    <definedName name="CS_10S">#REF!</definedName>
    <definedName name="CS_120" localSheetId="2">#REF!</definedName>
    <definedName name="CS_120" localSheetId="3">#REF!</definedName>
    <definedName name="CS_120" localSheetId="4">#REF!</definedName>
    <definedName name="CS_120" localSheetId="5">#REF!</definedName>
    <definedName name="CS_120">#REF!</definedName>
    <definedName name="CS_140" localSheetId="2">#REF!</definedName>
    <definedName name="CS_140" localSheetId="3">#REF!</definedName>
    <definedName name="CS_140" localSheetId="4">#REF!</definedName>
    <definedName name="CS_140" localSheetId="5">#REF!</definedName>
    <definedName name="CS_140">#REF!</definedName>
    <definedName name="CS_160" localSheetId="2">#REF!</definedName>
    <definedName name="CS_160" localSheetId="3">#REF!</definedName>
    <definedName name="CS_160" localSheetId="4">#REF!</definedName>
    <definedName name="CS_160" localSheetId="5">#REF!</definedName>
    <definedName name="CS_160">#REF!</definedName>
    <definedName name="CS_20" localSheetId="2">#REF!</definedName>
    <definedName name="CS_20" localSheetId="3">#REF!</definedName>
    <definedName name="CS_20" localSheetId="4">#REF!</definedName>
    <definedName name="CS_20" localSheetId="5">#REF!</definedName>
    <definedName name="CS_20">#REF!</definedName>
    <definedName name="CS_30" localSheetId="2">#REF!</definedName>
    <definedName name="CS_30" localSheetId="3">#REF!</definedName>
    <definedName name="CS_30" localSheetId="4">#REF!</definedName>
    <definedName name="CS_30" localSheetId="5">#REF!</definedName>
    <definedName name="CS_30">#REF!</definedName>
    <definedName name="CS_40" localSheetId="2">#REF!</definedName>
    <definedName name="CS_40" localSheetId="3">#REF!</definedName>
    <definedName name="CS_40" localSheetId="4">#REF!</definedName>
    <definedName name="CS_40" localSheetId="5">#REF!</definedName>
    <definedName name="CS_40">#REF!</definedName>
    <definedName name="CS_40S" localSheetId="2">#REF!</definedName>
    <definedName name="CS_40S" localSheetId="3">#REF!</definedName>
    <definedName name="CS_40S" localSheetId="4">#REF!</definedName>
    <definedName name="CS_40S" localSheetId="5">#REF!</definedName>
    <definedName name="CS_40S">#REF!</definedName>
    <definedName name="CS_5S" localSheetId="2">#REF!</definedName>
    <definedName name="CS_5S" localSheetId="3">#REF!</definedName>
    <definedName name="CS_5S" localSheetId="4">#REF!</definedName>
    <definedName name="CS_5S" localSheetId="5">#REF!</definedName>
    <definedName name="CS_5S">#REF!</definedName>
    <definedName name="CS_60" localSheetId="2">#REF!</definedName>
    <definedName name="CS_60" localSheetId="3">#REF!</definedName>
    <definedName name="CS_60" localSheetId="4">#REF!</definedName>
    <definedName name="CS_60" localSheetId="5">#REF!</definedName>
    <definedName name="CS_60">#REF!</definedName>
    <definedName name="CS_80" localSheetId="2">#REF!</definedName>
    <definedName name="CS_80" localSheetId="3">#REF!</definedName>
    <definedName name="CS_80" localSheetId="4">#REF!</definedName>
    <definedName name="CS_80" localSheetId="5">#REF!</definedName>
    <definedName name="CS_80">#REF!</definedName>
    <definedName name="CS_80S" localSheetId="2">#REF!</definedName>
    <definedName name="CS_80S" localSheetId="3">#REF!</definedName>
    <definedName name="CS_80S" localSheetId="4">#REF!</definedName>
    <definedName name="CS_80S" localSheetId="5">#REF!</definedName>
    <definedName name="CS_80S">#REF!</definedName>
    <definedName name="CS_STD" localSheetId="2">#REF!</definedName>
    <definedName name="CS_STD" localSheetId="3">#REF!</definedName>
    <definedName name="CS_STD" localSheetId="4">#REF!</definedName>
    <definedName name="CS_STD" localSheetId="5">#REF!</definedName>
    <definedName name="CS_STD">#REF!</definedName>
    <definedName name="CS_XS" localSheetId="2">#REF!</definedName>
    <definedName name="CS_XS" localSheetId="3">#REF!</definedName>
    <definedName name="CS_XS" localSheetId="4">#REF!</definedName>
    <definedName name="CS_XS" localSheetId="5">#REF!</definedName>
    <definedName name="CS_XS">#REF!</definedName>
    <definedName name="CS_XXS" localSheetId="2">#REF!</definedName>
    <definedName name="CS_XXS" localSheetId="3">#REF!</definedName>
    <definedName name="CS_XXS" localSheetId="4">#REF!</definedName>
    <definedName name="CS_XXS" localSheetId="5">#REF!</definedName>
    <definedName name="CS_XXS">#REF!</definedName>
    <definedName name="csd3p" localSheetId="2">#REF!</definedName>
    <definedName name="csd3p" localSheetId="3">#REF!</definedName>
    <definedName name="csd3p" localSheetId="4">#REF!</definedName>
    <definedName name="csd3p" localSheetId="5">#REF!</definedName>
    <definedName name="csd3p">#REF!</definedName>
    <definedName name="csddg1p" localSheetId="2">#REF!</definedName>
    <definedName name="csddg1p" localSheetId="3">#REF!</definedName>
    <definedName name="csddg1p" localSheetId="4">#REF!</definedName>
    <definedName name="csddg1p" localSheetId="5">#REF!</definedName>
    <definedName name="csddg1p">#REF!</definedName>
    <definedName name="csddt1p" localSheetId="2">#REF!</definedName>
    <definedName name="csddt1p" localSheetId="3">#REF!</definedName>
    <definedName name="csddt1p" localSheetId="4">#REF!</definedName>
    <definedName name="csddt1p" localSheetId="5">#REF!</definedName>
    <definedName name="csddt1p">#REF!</definedName>
    <definedName name="csht3p" localSheetId="2">#REF!</definedName>
    <definedName name="csht3p" localSheetId="3">#REF!</definedName>
    <definedName name="csht3p" localSheetId="4">#REF!</definedName>
    <definedName name="csht3p" localSheetId="5">#REF!</definedName>
    <definedName name="csht3p">#REF!</definedName>
    <definedName name="ctiep" localSheetId="2">#REF!</definedName>
    <definedName name="ctiep" localSheetId="3">#REF!</definedName>
    <definedName name="ctiep" localSheetId="4">#REF!</definedName>
    <definedName name="ctiep" localSheetId="5">#REF!</definedName>
    <definedName name="ctiep">#REF!</definedName>
    <definedName name="CX" localSheetId="2">#REF!</definedName>
    <definedName name="CX" localSheetId="3">#REF!</definedName>
    <definedName name="CX" localSheetId="4">#REF!</definedName>
    <definedName name="CX" localSheetId="5">#REF!</definedName>
    <definedName name="CX">#REF!</definedName>
    <definedName name="CH" localSheetId="2">#REF!</definedName>
    <definedName name="CH" localSheetId="3">#REF!</definedName>
    <definedName name="CH" localSheetId="4">#REF!</definedName>
    <definedName name="CH" localSheetId="5">#REF!</definedName>
    <definedName name="CH">#REF!</definedName>
    <definedName name="daodat" localSheetId="2">#REF!</definedName>
    <definedName name="daodat" localSheetId="3">#REF!</definedName>
    <definedName name="daodat" localSheetId="4">#REF!</definedName>
    <definedName name="daodat" localSheetId="5">#REF!</definedName>
    <definedName name="daodat">#REF!</definedName>
    <definedName name="dat" localSheetId="2">#REF!</definedName>
    <definedName name="dat" localSheetId="3">#REF!</definedName>
    <definedName name="dat" localSheetId="4">#REF!</definedName>
    <definedName name="dat" localSheetId="5">#REF!</definedName>
    <definedName name="dat">#REF!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DD" localSheetId="2">#REF!</definedName>
    <definedName name="DD" localSheetId="3">#REF!</definedName>
    <definedName name="DD" localSheetId="4">#REF!</definedName>
    <definedName name="DD" localSheetId="5">#REF!</definedName>
    <definedName name="DD">#REF!</definedName>
    <definedName name="den_bu" localSheetId="2">#REF!</definedName>
    <definedName name="den_bu" localSheetId="3">#REF!</definedName>
    <definedName name="den_bu" localSheetId="4">#REF!</definedName>
    <definedName name="den_bu" localSheetId="5">#REF!</definedName>
    <definedName name="den_bu">#REF!</definedName>
    <definedName name="dgbdII" localSheetId="2">#REF!</definedName>
    <definedName name="dgbdII" localSheetId="3">#REF!</definedName>
    <definedName name="dgbdII" localSheetId="4">#REF!</definedName>
    <definedName name="dgbdII" localSheetId="5">#REF!</definedName>
    <definedName name="dgbdII">#REF!</definedName>
    <definedName name="DGCTI592" localSheetId="2">#REF!</definedName>
    <definedName name="DGCTI592" localSheetId="3">#REF!</definedName>
    <definedName name="DGCTI592" localSheetId="4">#REF!</definedName>
    <definedName name="DGCTI592" localSheetId="5">#REF!</definedName>
    <definedName name="DGCTI592">#REF!</definedName>
    <definedName name="dgnc" localSheetId="2">#REF!</definedName>
    <definedName name="dgnc" localSheetId="3">#REF!</definedName>
    <definedName name="dgnc" localSheetId="4">#REF!</definedName>
    <definedName name="dgnc" localSheetId="5">#REF!</definedName>
    <definedName name="dgnc">#REF!</definedName>
    <definedName name="dgqndn" localSheetId="2">#REF!</definedName>
    <definedName name="dgqndn" localSheetId="3">#REF!</definedName>
    <definedName name="dgqndn" localSheetId="4">#REF!</definedName>
    <definedName name="dgqndn" localSheetId="5">#REF!</definedName>
    <definedName name="dgqndn">#REF!</definedName>
    <definedName name="dgvl" localSheetId="2">#REF!</definedName>
    <definedName name="dgvl" localSheetId="3">#REF!</definedName>
    <definedName name="dgvl" localSheetId="4">#REF!</definedName>
    <definedName name="dgvl" localSheetId="5">#REF!</definedName>
    <definedName name="dgvl">#REF!</definedName>
    <definedName name="dm56bxd" localSheetId="2">#REF!</definedName>
    <definedName name="dm56bxd" localSheetId="3">#REF!</definedName>
    <definedName name="dm56bxd" localSheetId="4">#REF!</definedName>
    <definedName name="dm56bxd" localSheetId="5">#REF!</definedName>
    <definedName name="dm56bxd">#REF!</definedName>
    <definedName name="DNNN" localSheetId="2">#REF!</definedName>
    <definedName name="DNNN" localSheetId="3">#REF!</definedName>
    <definedName name="DNNN" localSheetId="4">#REF!</definedName>
    <definedName name="DNNN" localSheetId="5">#REF!</definedName>
    <definedName name="DNNN">#REF!</definedName>
    <definedName name="ds1pnc" localSheetId="2">#REF!</definedName>
    <definedName name="ds1pnc" localSheetId="3">#REF!</definedName>
    <definedName name="ds1pnc" localSheetId="4">#REF!</definedName>
    <definedName name="ds1pnc" localSheetId="5">#REF!</definedName>
    <definedName name="ds1pnc">#REF!</definedName>
    <definedName name="ds1pvl" localSheetId="2">#REF!</definedName>
    <definedName name="ds1pvl" localSheetId="3">#REF!</definedName>
    <definedName name="ds1pvl" localSheetId="4">#REF!</definedName>
    <definedName name="ds1pvl" localSheetId="5">#REF!</definedName>
    <definedName name="ds1pvl">#REF!</definedName>
    <definedName name="ds3pnc" localSheetId="2">#REF!</definedName>
    <definedName name="ds3pnc" localSheetId="3">#REF!</definedName>
    <definedName name="ds3pnc" localSheetId="4">#REF!</definedName>
    <definedName name="ds3pnc" localSheetId="5">#REF!</definedName>
    <definedName name="ds3pnc">#REF!</definedName>
    <definedName name="ds3pvl" localSheetId="2">#REF!</definedName>
    <definedName name="ds3pvl" localSheetId="3">#REF!</definedName>
    <definedName name="ds3pvl" localSheetId="4">#REF!</definedName>
    <definedName name="ds3pvl" localSheetId="5">#REF!</definedName>
    <definedName name="ds3pvl">#REF!</definedName>
    <definedName name="DSUMDATA" localSheetId="2">#REF!</definedName>
    <definedName name="DSUMDATA" localSheetId="3">#REF!</definedName>
    <definedName name="DSUMDATA" localSheetId="4">#REF!</definedName>
    <definedName name="DSUMDATA" localSheetId="5">#REF!</definedName>
    <definedName name="DSUMDATA">#REF!</definedName>
    <definedName name="DzoBB" localSheetId="2">#REF!</definedName>
    <definedName name="DzoBB" localSheetId="3">#REF!</definedName>
    <definedName name="DzoBB" localSheetId="4">#REF!</definedName>
    <definedName name="DzoBB" localSheetId="5">#REF!</definedName>
    <definedName name="DzoBB">#REF!</definedName>
    <definedName name="EmployeeName" localSheetId="2">#REF!</definedName>
    <definedName name="EmployeeName" localSheetId="3">#REF!</definedName>
    <definedName name="EmployeeName" localSheetId="4">#REF!</definedName>
    <definedName name="EmployeeName" localSheetId="5">#REF!</definedName>
    <definedName name="EmployeeName">#REF!</definedName>
    <definedName name="End_1" localSheetId="2">#REF!</definedName>
    <definedName name="End_1" localSheetId="3">#REF!</definedName>
    <definedName name="End_1" localSheetId="4">#REF!</definedName>
    <definedName name="End_1" localSheetId="5">#REF!</definedName>
    <definedName name="End_1">#REF!</definedName>
    <definedName name="End_10" localSheetId="2">#REF!</definedName>
    <definedName name="End_10" localSheetId="3">#REF!</definedName>
    <definedName name="End_10" localSheetId="4">#REF!</definedName>
    <definedName name="End_10" localSheetId="5">#REF!</definedName>
    <definedName name="End_10">#REF!</definedName>
    <definedName name="End_11" localSheetId="2">#REF!</definedName>
    <definedName name="End_11" localSheetId="3">#REF!</definedName>
    <definedName name="End_11" localSheetId="4">#REF!</definedName>
    <definedName name="End_11" localSheetId="5">#REF!</definedName>
    <definedName name="End_11">#REF!</definedName>
    <definedName name="End_12" localSheetId="2">#REF!</definedName>
    <definedName name="End_12" localSheetId="3">#REF!</definedName>
    <definedName name="End_12" localSheetId="4">#REF!</definedName>
    <definedName name="End_12" localSheetId="5">#REF!</definedName>
    <definedName name="End_12">#REF!</definedName>
    <definedName name="End_13" localSheetId="2">#REF!</definedName>
    <definedName name="End_13" localSheetId="3">#REF!</definedName>
    <definedName name="End_13" localSheetId="4">#REF!</definedName>
    <definedName name="End_13" localSheetId="5">#REF!</definedName>
    <definedName name="End_13">#REF!</definedName>
    <definedName name="End_2" localSheetId="2">#REF!</definedName>
    <definedName name="End_2" localSheetId="3">#REF!</definedName>
    <definedName name="End_2" localSheetId="4">#REF!</definedName>
    <definedName name="End_2" localSheetId="5">#REF!</definedName>
    <definedName name="End_2">#REF!</definedName>
    <definedName name="End_3" localSheetId="2">#REF!</definedName>
    <definedName name="End_3" localSheetId="3">#REF!</definedName>
    <definedName name="End_3" localSheetId="4">#REF!</definedName>
    <definedName name="End_3" localSheetId="5">#REF!</definedName>
    <definedName name="End_3">#REF!</definedName>
    <definedName name="End_4" localSheetId="2">#REF!</definedName>
    <definedName name="End_4" localSheetId="3">#REF!</definedName>
    <definedName name="End_4" localSheetId="4">#REF!</definedName>
    <definedName name="End_4" localSheetId="5">#REF!</definedName>
    <definedName name="End_4">#REF!</definedName>
    <definedName name="End_5" localSheetId="2">#REF!</definedName>
    <definedName name="End_5" localSheetId="3">#REF!</definedName>
    <definedName name="End_5" localSheetId="4">#REF!</definedName>
    <definedName name="End_5" localSheetId="5">#REF!</definedName>
    <definedName name="End_5">#REF!</definedName>
    <definedName name="End_6" localSheetId="2">#REF!</definedName>
    <definedName name="End_6" localSheetId="3">#REF!</definedName>
    <definedName name="End_6" localSheetId="4">#REF!</definedName>
    <definedName name="End_6" localSheetId="5">#REF!</definedName>
    <definedName name="End_6">#REF!</definedName>
    <definedName name="End_7" localSheetId="2">#REF!</definedName>
    <definedName name="End_7" localSheetId="3">#REF!</definedName>
    <definedName name="End_7" localSheetId="4">#REF!</definedName>
    <definedName name="End_7" localSheetId="5">#REF!</definedName>
    <definedName name="End_7">#REF!</definedName>
    <definedName name="End_8" localSheetId="2">#REF!</definedName>
    <definedName name="End_8" localSheetId="3">#REF!</definedName>
    <definedName name="End_8" localSheetId="4">#REF!</definedName>
    <definedName name="End_8" localSheetId="5">#REF!</definedName>
    <definedName name="End_8">#REF!</definedName>
    <definedName name="End_9" localSheetId="2">#REF!</definedName>
    <definedName name="End_9" localSheetId="3">#REF!</definedName>
    <definedName name="End_9" localSheetId="4">#REF!</definedName>
    <definedName name="End_9" localSheetId="5">#REF!</definedName>
    <definedName name="End_9">#REF!</definedName>
    <definedName name="_xlnm.Extract" localSheetId="2">#REF!</definedName>
    <definedName name="_xlnm.Extract" localSheetId="3">#REF!</definedName>
    <definedName name="_xlnm.Extract" localSheetId="4">#REF!</definedName>
    <definedName name="_xlnm.Extract" localSheetId="5">#REF!</definedName>
    <definedName name="_xlnm.Extract">#REF!</definedName>
    <definedName name="f" localSheetId="2">#REF!</definedName>
    <definedName name="f" localSheetId="3">#REF!</definedName>
    <definedName name="f" localSheetId="4">#REF!</definedName>
    <definedName name="f" localSheetId="5">#REF!</definedName>
    <definedName name="f">#REF!</definedName>
    <definedName name="f82E46" localSheetId="2">#REF!</definedName>
    <definedName name="f82E46" localSheetId="3">#REF!</definedName>
    <definedName name="f82E46" localSheetId="4">#REF!</definedName>
    <definedName name="f82E46" localSheetId="5">#REF!</definedName>
    <definedName name="f82E46">#REF!</definedName>
    <definedName name="gl3p" localSheetId="2">#REF!</definedName>
    <definedName name="gl3p" localSheetId="3">#REF!</definedName>
    <definedName name="gl3p" localSheetId="4">#REF!</definedName>
    <definedName name="gl3p" localSheetId="5">#REF!</definedName>
    <definedName name="gl3p">#REF!</definedName>
    <definedName name="GSTC" localSheetId="2">#REF!</definedName>
    <definedName name="GSTC" localSheetId="3">#REF!</definedName>
    <definedName name="GSTC" localSheetId="4">#REF!</definedName>
    <definedName name="GSTC" localSheetId="5">#REF!</definedName>
    <definedName name="GSTC">#REF!</definedName>
    <definedName name="GTXL" localSheetId="2">#REF!</definedName>
    <definedName name="GTXL" localSheetId="3">#REF!</definedName>
    <definedName name="GTXL" localSheetId="4">#REF!</definedName>
    <definedName name="GTXL" localSheetId="5">#REF!</definedName>
    <definedName name="GTXL">#REF!</definedName>
    <definedName name="gia_tien" localSheetId="2">#REF!</definedName>
    <definedName name="gia_tien" localSheetId="3">#REF!</definedName>
    <definedName name="gia_tien" localSheetId="4">#REF!</definedName>
    <definedName name="gia_tien" localSheetId="5">#REF!</definedName>
    <definedName name="gia_tien">#REF!</definedName>
    <definedName name="gia_tien_BTN" localSheetId="2">#REF!</definedName>
    <definedName name="gia_tien_BTN" localSheetId="3">#REF!</definedName>
    <definedName name="gia_tien_BTN" localSheetId="4">#REF!</definedName>
    <definedName name="gia_tien_BTN" localSheetId="5">#REF!</definedName>
    <definedName name="gia_tien_BTN">#REF!</definedName>
    <definedName name="h" localSheetId="2">#REF!</definedName>
    <definedName name="h" localSheetId="3">#REF!</definedName>
    <definedName name="h" localSheetId="4">#REF!</definedName>
    <definedName name="h" localSheetId="5">#REF!</definedName>
    <definedName name="h">#REF!</definedName>
    <definedName name="Heä_soá_laép_xaø_H">1.7</definedName>
    <definedName name="heä_soá_sình_laày" localSheetId="2">#REF!</definedName>
    <definedName name="heä_soá_sình_laày" localSheetId="3">#REF!</definedName>
    <definedName name="heä_soá_sình_laày" localSheetId="4">#REF!</definedName>
    <definedName name="heä_soá_sình_laày" localSheetId="5">#REF!</definedName>
    <definedName name="heä_soá_sình_laày">#REF!</definedName>
    <definedName name="hien" localSheetId="2">#REF!</definedName>
    <definedName name="hien" localSheetId="3">#REF!</definedName>
    <definedName name="hien" localSheetId="4">#REF!</definedName>
    <definedName name="hien" localSheetId="5">#REF!</definedName>
    <definedName name="hien">#REF!</definedName>
    <definedName name="HOME_MANP" localSheetId="2">#REF!</definedName>
    <definedName name="HOME_MANP" localSheetId="3">#REF!</definedName>
    <definedName name="HOME_MANP" localSheetId="4">#REF!</definedName>
    <definedName name="HOME_MANP" localSheetId="5">#REF!</definedName>
    <definedName name="HOME_MANP">#REF!</definedName>
    <definedName name="HOMEOFFICE_COST" localSheetId="2">#REF!</definedName>
    <definedName name="HOMEOFFICE_COST" localSheetId="3">#REF!</definedName>
    <definedName name="HOMEOFFICE_COST" localSheetId="4">#REF!</definedName>
    <definedName name="HOMEOFFICE_COST" localSheetId="5">#REF!</definedName>
    <definedName name="HOMEOFFICE_COST">#REF!</definedName>
    <definedName name="HSCT3">0.1</definedName>
    <definedName name="hsdc1" localSheetId="2">#REF!</definedName>
    <definedName name="hsdc1" localSheetId="3">#REF!</definedName>
    <definedName name="hsdc1" localSheetId="4">#REF!</definedName>
    <definedName name="hsdc1" localSheetId="5">#REF!</definedName>
    <definedName name="hsdc1">#REF!</definedName>
    <definedName name="HSDN">2.5</definedName>
    <definedName name="HSHH" localSheetId="2">#REF!</definedName>
    <definedName name="HSHH" localSheetId="3">#REF!</definedName>
    <definedName name="HSHH" localSheetId="4">#REF!</definedName>
    <definedName name="HSHH" localSheetId="5">#REF!</definedName>
    <definedName name="HSHH">#REF!</definedName>
    <definedName name="HSHHUT" localSheetId="2">#REF!</definedName>
    <definedName name="HSHHUT" localSheetId="3">#REF!</definedName>
    <definedName name="HSHHUT" localSheetId="4">#REF!</definedName>
    <definedName name="HSHHUT" localSheetId="5">#REF!</definedName>
    <definedName name="HSHHUT">#REF!</definedName>
    <definedName name="HSSL" localSheetId="2">#REF!</definedName>
    <definedName name="HSSL" localSheetId="3">#REF!</definedName>
    <definedName name="HSSL" localSheetId="4">#REF!</definedName>
    <definedName name="HSSL" localSheetId="5">#REF!</definedName>
    <definedName name="HSSL">#REF!</definedName>
    <definedName name="HSVC1" localSheetId="2">#REF!</definedName>
    <definedName name="HSVC1" localSheetId="3">#REF!</definedName>
    <definedName name="HSVC1" localSheetId="4">#REF!</definedName>
    <definedName name="HSVC1" localSheetId="5">#REF!</definedName>
    <definedName name="HSVC1">#REF!</definedName>
    <definedName name="HSVC2" localSheetId="2">#REF!</definedName>
    <definedName name="HSVC2" localSheetId="3">#REF!</definedName>
    <definedName name="HSVC2" localSheetId="4">#REF!</definedName>
    <definedName name="HSVC2" localSheetId="5">#REF!</definedName>
    <definedName name="HSVC2">#REF!</definedName>
    <definedName name="HSVC3" localSheetId="2">#REF!</definedName>
    <definedName name="HSVC3" localSheetId="3">#REF!</definedName>
    <definedName name="HSVC3" localSheetId="4">#REF!</definedName>
    <definedName name="HSVC3" localSheetId="5">#REF!</definedName>
    <definedName name="HSVC3">#REF!</definedName>
    <definedName name="HTML_CodePage" hidden="1">950</definedName>
    <definedName name="HTML_Control" localSheetId="2" hidden="1">{"'Sheet1'!$L$16"}</definedName>
    <definedName name="HTML_Control" localSheetId="3" hidden="1">{"'Sheet1'!$L$16"}</definedName>
    <definedName name="HTML_Control" localSheetId="4" hidden="1">{"'Sheet1'!$L$16"}</definedName>
    <definedName name="HTML_Control" localSheetId="5"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TNC" localSheetId="2">#REF!</definedName>
    <definedName name="HTNC" localSheetId="3">#REF!</definedName>
    <definedName name="HTNC" localSheetId="4">#REF!</definedName>
    <definedName name="HTNC" localSheetId="5">#REF!</definedName>
    <definedName name="HTNC">#REF!</definedName>
    <definedName name="HTVL" localSheetId="2">#REF!</definedName>
    <definedName name="HTVL" localSheetId="3">#REF!</definedName>
    <definedName name="HTVL" localSheetId="4">#REF!</definedName>
    <definedName name="HTVL" localSheetId="5">#REF!</definedName>
    <definedName name="HTVL">#REF!</definedName>
    <definedName name="huy" localSheetId="2" hidden="1">{"'Sheet1'!$L$16"}</definedName>
    <definedName name="huy" localSheetId="3" hidden="1">{"'Sheet1'!$L$16"}</definedName>
    <definedName name="huy" localSheetId="4" hidden="1">{"'Sheet1'!$L$16"}</definedName>
    <definedName name="huy" localSheetId="5" hidden="1">{"'Sheet1'!$L$16"}</definedName>
    <definedName name="huy" hidden="1">{"'Sheet1'!$L$16"}</definedName>
    <definedName name="I" localSheetId="2">#REF!</definedName>
    <definedName name="I" localSheetId="3">#REF!</definedName>
    <definedName name="I" localSheetId="4">#REF!</definedName>
    <definedName name="I" localSheetId="5">#REF!</definedName>
    <definedName name="I">#REF!</definedName>
    <definedName name="IDLAB_COST" localSheetId="2">#REF!</definedName>
    <definedName name="IDLAB_COST" localSheetId="3">#REF!</definedName>
    <definedName name="IDLAB_COST" localSheetId="4">#REF!</definedName>
    <definedName name="IDLAB_COST" localSheetId="5">#REF!</definedName>
    <definedName name="IDLAB_COST">#REF!</definedName>
    <definedName name="ii" localSheetId="2" hidden="1">{"'Sheet1'!$L$16"}</definedName>
    <definedName name="ii" localSheetId="3" hidden="1">{"'Sheet1'!$L$16"}</definedName>
    <definedName name="ii" localSheetId="4" hidden="1">{"'Sheet1'!$L$16"}</definedName>
    <definedName name="ii" localSheetId="5" hidden="1">{"'Sheet1'!$L$16"}</definedName>
    <definedName name="ii" hidden="1">{"'Sheet1'!$L$16"}</definedName>
    <definedName name="INDMANP" localSheetId="2">#REF!</definedName>
    <definedName name="INDMANP" localSheetId="3">#REF!</definedName>
    <definedName name="INDMANP" localSheetId="4">#REF!</definedName>
    <definedName name="INDMANP" localSheetId="5">#REF!</definedName>
    <definedName name="INDMANP">#REF!</definedName>
    <definedName name="INTBN" localSheetId="2">#REF!</definedName>
    <definedName name="INTBN" localSheetId="3">#REF!</definedName>
    <definedName name="INTBN" localSheetId="4">#REF!</definedName>
    <definedName name="INTBN" localSheetId="5">#REF!</definedName>
    <definedName name="INTBN">#REF!</definedName>
    <definedName name="j" localSheetId="2">#REF!</definedName>
    <definedName name="j" localSheetId="3">#REF!</definedName>
    <definedName name="j" localSheetId="4">#REF!</definedName>
    <definedName name="j" localSheetId="5">#REF!</definedName>
    <definedName name="j">#REF!</definedName>
    <definedName name="j356C8" localSheetId="2">#REF!</definedName>
    <definedName name="j356C8" localSheetId="3">#REF!</definedName>
    <definedName name="j356C8" localSheetId="4">#REF!</definedName>
    <definedName name="j356C8" localSheetId="5">#REF!</definedName>
    <definedName name="j356C8">#REF!</definedName>
    <definedName name="k" localSheetId="2">#REF!</definedName>
    <definedName name="k" localSheetId="3">#REF!</definedName>
    <definedName name="k" localSheetId="4">#REF!</definedName>
    <definedName name="k" localSheetId="5">#REF!</definedName>
    <definedName name="k">#REF!</definedName>
    <definedName name="kcong" localSheetId="2">#REF!</definedName>
    <definedName name="kcong" localSheetId="3">#REF!</definedName>
    <definedName name="kcong" localSheetId="4">#REF!</definedName>
    <definedName name="kcong" localSheetId="5">#REF!</definedName>
    <definedName name="kcong">#REF!</definedName>
    <definedName name="kp1ph" localSheetId="2">#REF!</definedName>
    <definedName name="kp1ph" localSheetId="3">#REF!</definedName>
    <definedName name="kp1ph" localSheetId="4">#REF!</definedName>
    <definedName name="kp1ph" localSheetId="5">#REF!</definedName>
    <definedName name="kp1ph">#REF!</definedName>
    <definedName name="Khac" localSheetId="2">#REF!</definedName>
    <definedName name="Khac" localSheetId="3">#REF!</definedName>
    <definedName name="Khac" localSheetId="4">#REF!</definedName>
    <definedName name="Khac" localSheetId="5">#REF!</definedName>
    <definedName name="Khac">#REF!</definedName>
    <definedName name="Khong_can_doi" localSheetId="2">#REF!</definedName>
    <definedName name="Khong_can_doi" localSheetId="3">#REF!</definedName>
    <definedName name="Khong_can_doi" localSheetId="4">#REF!</definedName>
    <definedName name="Khong_can_doi" localSheetId="5">#REF!</definedName>
    <definedName name="Khong_can_doi">#REF!</definedName>
    <definedName name="l" localSheetId="2">#REF!</definedName>
    <definedName name="l" localSheetId="3">#REF!</definedName>
    <definedName name="l" localSheetId="4">#REF!</definedName>
    <definedName name="l" localSheetId="5">#REF!</definedName>
    <definedName name="l">#REF!</definedName>
    <definedName name="LHSMTMS" localSheetId="2">#REF!</definedName>
    <definedName name="LHSMTMS" localSheetId="3">#REF!</definedName>
    <definedName name="LHSMTMS" localSheetId="4">#REF!</definedName>
    <definedName name="LHSMTMS" localSheetId="5">#REF!</definedName>
    <definedName name="LHSMTMS">#REF!</definedName>
    <definedName name="LHSMTXL" localSheetId="2">#REF!</definedName>
    <definedName name="LHSMTXL" localSheetId="3">#REF!</definedName>
    <definedName name="LHSMTXL" localSheetId="4">#REF!</definedName>
    <definedName name="LHSMTXL" localSheetId="5">#REF!</definedName>
    <definedName name="LHSMTXL">#REF!</definedName>
    <definedName name="limcount" hidden="1">5</definedName>
    <definedName name="LK" localSheetId="2">#REF!</definedName>
    <definedName name="LK" localSheetId="3">#REF!</definedName>
    <definedName name="LK" localSheetId="4">#REF!</definedName>
    <definedName name="LK" localSheetId="5">#REF!</definedName>
    <definedName name="LK">#REF!</definedName>
    <definedName name="Lmk" localSheetId="2">#REF!</definedName>
    <definedName name="Lmk" localSheetId="3">#REF!</definedName>
    <definedName name="Lmk" localSheetId="4">#REF!</definedName>
    <definedName name="Lmk" localSheetId="5">#REF!</definedName>
    <definedName name="Lmk">#REF!</definedName>
    <definedName name="LNCKT" localSheetId="2">#REF!</definedName>
    <definedName name="LNCKT" localSheetId="3">#REF!</definedName>
    <definedName name="LNCKT" localSheetId="4">#REF!</definedName>
    <definedName name="LNCKT" localSheetId="5">#REF!</definedName>
    <definedName name="LNCKT">#REF!</definedName>
    <definedName name="LRDaysTaken" localSheetId="2">#REF!</definedName>
    <definedName name="LRDaysTaken" localSheetId="3">#REF!</definedName>
    <definedName name="LRDaysTaken" localSheetId="4">#REF!</definedName>
    <definedName name="LRDaysTaken" localSheetId="5">#REF!</definedName>
    <definedName name="LRDaysTaken">#REF!</definedName>
    <definedName name="LREmployeeName" localSheetId="2">#REF!</definedName>
    <definedName name="LREmployeeName" localSheetId="3">#REF!</definedName>
    <definedName name="LREmployeeName" localSheetId="4">#REF!</definedName>
    <definedName name="LREmployeeName" localSheetId="5">#REF!</definedName>
    <definedName name="LREmployeeName">#REF!</definedName>
    <definedName name="LRNoOfDays" localSheetId="2">#REF!</definedName>
    <definedName name="LRNoOfDays" localSheetId="3">#REF!</definedName>
    <definedName name="LRNoOfDays" localSheetId="4">#REF!</definedName>
    <definedName name="LRNoOfDays" localSheetId="5">#REF!</definedName>
    <definedName name="LRNoOfDays">#REF!</definedName>
    <definedName name="m" localSheetId="2">#REF!</definedName>
    <definedName name="m" localSheetId="3">#REF!</definedName>
    <definedName name="m" localSheetId="4">#REF!</definedName>
    <definedName name="m" localSheetId="5">#REF!</definedName>
    <definedName name="m">#REF!</definedName>
    <definedName name="M12ba3p" localSheetId="2">#REF!</definedName>
    <definedName name="M12ba3p" localSheetId="3">#REF!</definedName>
    <definedName name="M12ba3p" localSheetId="4">#REF!</definedName>
    <definedName name="M12ba3p" localSheetId="5">#REF!</definedName>
    <definedName name="M12ba3p">#REF!</definedName>
    <definedName name="M12bb1p" localSheetId="2">#REF!</definedName>
    <definedName name="M12bb1p" localSheetId="3">#REF!</definedName>
    <definedName name="M12bb1p" localSheetId="4">#REF!</definedName>
    <definedName name="M12bb1p" localSheetId="5">#REF!</definedName>
    <definedName name="M12bb1p">#REF!</definedName>
    <definedName name="M12cbnc" localSheetId="2">#REF!</definedName>
    <definedName name="M12cbnc" localSheetId="3">#REF!</definedName>
    <definedName name="M12cbnc" localSheetId="4">#REF!</definedName>
    <definedName name="M12cbnc" localSheetId="5">#REF!</definedName>
    <definedName name="M12cbnc">#REF!</definedName>
    <definedName name="M12cbvl" localSheetId="2">#REF!</definedName>
    <definedName name="M12cbvl" localSheetId="3">#REF!</definedName>
    <definedName name="M12cbvl" localSheetId="4">#REF!</definedName>
    <definedName name="M12cbvl" localSheetId="5">#REF!</definedName>
    <definedName name="M12cbvl">#REF!</definedName>
    <definedName name="M14bb1p" localSheetId="2">#REF!</definedName>
    <definedName name="M14bb1p" localSheetId="3">#REF!</definedName>
    <definedName name="M14bb1p" localSheetId="4">#REF!</definedName>
    <definedName name="M14bb1p" localSheetId="5">#REF!</definedName>
    <definedName name="M14bb1p">#REF!</definedName>
    <definedName name="m8aanc" localSheetId="2">#REF!</definedName>
    <definedName name="m8aanc" localSheetId="3">#REF!</definedName>
    <definedName name="m8aanc" localSheetId="4">#REF!</definedName>
    <definedName name="m8aanc" localSheetId="5">#REF!</definedName>
    <definedName name="m8aanc">#REF!</definedName>
    <definedName name="m8aavl" localSheetId="2">#REF!</definedName>
    <definedName name="m8aavl" localSheetId="3">#REF!</definedName>
    <definedName name="m8aavl" localSheetId="4">#REF!</definedName>
    <definedName name="m8aavl" localSheetId="5">#REF!</definedName>
    <definedName name="m8aavl">#REF!</definedName>
    <definedName name="Ma3pnc" localSheetId="2">#REF!</definedName>
    <definedName name="Ma3pnc" localSheetId="3">#REF!</definedName>
    <definedName name="Ma3pnc" localSheetId="4">#REF!</definedName>
    <definedName name="Ma3pnc" localSheetId="5">#REF!</definedName>
    <definedName name="Ma3pnc">#REF!</definedName>
    <definedName name="Ma3pvl" localSheetId="2">#REF!</definedName>
    <definedName name="Ma3pvl" localSheetId="3">#REF!</definedName>
    <definedName name="Ma3pvl" localSheetId="4">#REF!</definedName>
    <definedName name="Ma3pvl" localSheetId="5">#REF!</definedName>
    <definedName name="Ma3pvl">#REF!</definedName>
    <definedName name="Maa3pnc" localSheetId="2">#REF!</definedName>
    <definedName name="Maa3pnc" localSheetId="3">#REF!</definedName>
    <definedName name="Maa3pnc" localSheetId="4">#REF!</definedName>
    <definedName name="Maa3pnc" localSheetId="5">#REF!</definedName>
    <definedName name="Maa3pnc">#REF!</definedName>
    <definedName name="Maa3pvl" localSheetId="2">#REF!</definedName>
    <definedName name="Maa3pvl" localSheetId="3">#REF!</definedName>
    <definedName name="Maa3pvl" localSheetId="4">#REF!</definedName>
    <definedName name="Maa3pvl" localSheetId="5">#REF!</definedName>
    <definedName name="Maa3pvl">#REF!</definedName>
    <definedName name="MAJ_CON_EQP" localSheetId="2">#REF!</definedName>
    <definedName name="MAJ_CON_EQP" localSheetId="3">#REF!</definedName>
    <definedName name="MAJ_CON_EQP" localSheetId="4">#REF!</definedName>
    <definedName name="MAJ_CON_EQP" localSheetId="5">#REF!</definedName>
    <definedName name="MAJ_CON_EQP">#REF!</definedName>
    <definedName name="Mba1p" localSheetId="2">#REF!</definedName>
    <definedName name="Mba1p" localSheetId="3">#REF!</definedName>
    <definedName name="Mba1p" localSheetId="4">#REF!</definedName>
    <definedName name="Mba1p" localSheetId="5">#REF!</definedName>
    <definedName name="Mba1p">#REF!</definedName>
    <definedName name="Mba3p" localSheetId="2">#REF!</definedName>
    <definedName name="Mba3p" localSheetId="3">#REF!</definedName>
    <definedName name="Mba3p" localSheetId="4">#REF!</definedName>
    <definedName name="Mba3p" localSheetId="5">#REF!</definedName>
    <definedName name="Mba3p">#REF!</definedName>
    <definedName name="Mbb3p" localSheetId="2">#REF!</definedName>
    <definedName name="Mbb3p" localSheetId="3">#REF!</definedName>
    <definedName name="Mbb3p" localSheetId="4">#REF!</definedName>
    <definedName name="Mbb3p" localSheetId="5">#REF!</definedName>
    <definedName name="Mbb3p">#REF!</definedName>
    <definedName name="Mbn1p" localSheetId="2">#REF!</definedName>
    <definedName name="Mbn1p" localSheetId="3">#REF!</definedName>
    <definedName name="Mbn1p" localSheetId="4">#REF!</definedName>
    <definedName name="Mbn1p" localSheetId="5">#REF!</definedName>
    <definedName name="Mbn1p">#REF!</definedName>
    <definedName name="mc" localSheetId="2">#REF!</definedName>
    <definedName name="mc" localSheetId="3">#REF!</definedName>
    <definedName name="mc" localSheetId="4">#REF!</definedName>
    <definedName name="mc" localSheetId="5">#REF!</definedName>
    <definedName name="mc">#REF!</definedName>
    <definedName name="mdna" localSheetId="2">#REF!</definedName>
    <definedName name="mdna" localSheetId="3">#REF!</definedName>
    <definedName name="mdna" localSheetId="4">#REF!</definedName>
    <definedName name="mdna" localSheetId="5">#REF!</definedName>
    <definedName name="mdna">#REF!</definedName>
    <definedName name="MG_A" localSheetId="2">#REF!</definedName>
    <definedName name="MG_A" localSheetId="3">#REF!</definedName>
    <definedName name="MG_A" localSheetId="4">#REF!</definedName>
    <definedName name="MG_A" localSheetId="5">#REF!</definedName>
    <definedName name="MG_A">#REF!</definedName>
    <definedName name="mglai" localSheetId="2">#REF!</definedName>
    <definedName name="mglai" localSheetId="3">#REF!</definedName>
    <definedName name="mglai" localSheetId="4">#REF!</definedName>
    <definedName name="mglai" localSheetId="5">#REF!</definedName>
    <definedName name="mglai">#REF!</definedName>
    <definedName name="mktum" localSheetId="2">#REF!</definedName>
    <definedName name="mktum" localSheetId="3">#REF!</definedName>
    <definedName name="mktum" localSheetId="4">#REF!</definedName>
    <definedName name="mktum" localSheetId="5">#REF!</definedName>
    <definedName name="mktum">#REF!</definedName>
    <definedName name="mqnam" localSheetId="2">#REF!</definedName>
    <definedName name="mqnam" localSheetId="3">#REF!</definedName>
    <definedName name="mqnam" localSheetId="4">#REF!</definedName>
    <definedName name="mqnam" localSheetId="5">#REF!</definedName>
    <definedName name="mqnam">#REF!</definedName>
    <definedName name="mqngai" localSheetId="2">#REF!</definedName>
    <definedName name="mqngai" localSheetId="3">#REF!</definedName>
    <definedName name="mqngai" localSheetId="4">#REF!</definedName>
    <definedName name="mqngai" localSheetId="5">#REF!</definedName>
    <definedName name="mqngai">#REF!</definedName>
    <definedName name="MTMAC12" localSheetId="2">#REF!</definedName>
    <definedName name="MTMAC12" localSheetId="3">#REF!</definedName>
    <definedName name="MTMAC12" localSheetId="4">#REF!</definedName>
    <definedName name="MTMAC12" localSheetId="5">#REF!</definedName>
    <definedName name="MTMAC12">#REF!</definedName>
    <definedName name="mtram" localSheetId="2">#REF!</definedName>
    <definedName name="mtram" localSheetId="3">#REF!</definedName>
    <definedName name="mtram" localSheetId="4">#REF!</definedName>
    <definedName name="mtram" localSheetId="5">#REF!</definedName>
    <definedName name="mtram">#REF!</definedName>
    <definedName name="n" localSheetId="2">#REF!</definedName>
    <definedName name="n" localSheetId="3">#REF!</definedName>
    <definedName name="n" localSheetId="4">#REF!</definedName>
    <definedName name="n" localSheetId="5">#REF!</definedName>
    <definedName name="n">#REF!</definedName>
    <definedName name="n1pig" localSheetId="2">#REF!</definedName>
    <definedName name="n1pig" localSheetId="3">#REF!</definedName>
    <definedName name="n1pig" localSheetId="4">#REF!</definedName>
    <definedName name="n1pig" localSheetId="5">#REF!</definedName>
    <definedName name="n1pig">#REF!</definedName>
    <definedName name="n1pind" localSheetId="2">#REF!</definedName>
    <definedName name="n1pind" localSheetId="3">#REF!</definedName>
    <definedName name="n1pind" localSheetId="4">#REF!</definedName>
    <definedName name="n1pind" localSheetId="5">#REF!</definedName>
    <definedName name="n1pind">#REF!</definedName>
    <definedName name="n1pint" localSheetId="2">#REF!</definedName>
    <definedName name="n1pint" localSheetId="3">#REF!</definedName>
    <definedName name="n1pint" localSheetId="4">#REF!</definedName>
    <definedName name="n1pint" localSheetId="5">#REF!</definedName>
    <definedName name="n1pint">#REF!</definedName>
    <definedName name="n1ping" localSheetId="2">#REF!</definedName>
    <definedName name="n1ping" localSheetId="3">#REF!</definedName>
    <definedName name="n1ping" localSheetId="4">#REF!</definedName>
    <definedName name="n1ping" localSheetId="5">#REF!</definedName>
    <definedName name="n1ping">#REF!</definedName>
    <definedName name="nc1p" localSheetId="2">#REF!</definedName>
    <definedName name="nc1p" localSheetId="3">#REF!</definedName>
    <definedName name="nc1p" localSheetId="4">#REF!</definedName>
    <definedName name="nc1p" localSheetId="5">#REF!</definedName>
    <definedName name="nc1p">#REF!</definedName>
    <definedName name="nc3p" localSheetId="2">#REF!</definedName>
    <definedName name="nc3p" localSheetId="3">#REF!</definedName>
    <definedName name="nc3p" localSheetId="4">#REF!</definedName>
    <definedName name="nc3p" localSheetId="5">#REF!</definedName>
    <definedName name="nc3p">#REF!</definedName>
    <definedName name="NCBD100" localSheetId="2">#REF!</definedName>
    <definedName name="NCBD100" localSheetId="3">#REF!</definedName>
    <definedName name="NCBD100" localSheetId="4">#REF!</definedName>
    <definedName name="NCBD100" localSheetId="5">#REF!</definedName>
    <definedName name="NCBD100">#REF!</definedName>
    <definedName name="NCBD200" localSheetId="2">#REF!</definedName>
    <definedName name="NCBD200" localSheetId="3">#REF!</definedName>
    <definedName name="NCBD200" localSheetId="4">#REF!</definedName>
    <definedName name="NCBD200" localSheetId="5">#REF!</definedName>
    <definedName name="NCBD200">#REF!</definedName>
    <definedName name="NCBD250" localSheetId="2">#REF!</definedName>
    <definedName name="NCBD250" localSheetId="3">#REF!</definedName>
    <definedName name="NCBD250" localSheetId="4">#REF!</definedName>
    <definedName name="NCBD250" localSheetId="5">#REF!</definedName>
    <definedName name="NCBD250">#REF!</definedName>
    <definedName name="NCMTC" localSheetId="2">#REF!</definedName>
    <definedName name="NCMTC" localSheetId="3">#REF!</definedName>
    <definedName name="NCMTC" localSheetId="4">#REF!</definedName>
    <definedName name="NCMTC" localSheetId="5">#REF!</definedName>
    <definedName name="NCMTC">#REF!</definedName>
    <definedName name="nctram" localSheetId="2">#REF!</definedName>
    <definedName name="nctram" localSheetId="3">#REF!</definedName>
    <definedName name="nctram" localSheetId="4">#REF!</definedName>
    <definedName name="nctram" localSheetId="5">#REF!</definedName>
    <definedName name="nctram">#REF!</definedName>
    <definedName name="NCVC100" localSheetId="2">#REF!</definedName>
    <definedName name="NCVC100" localSheetId="3">#REF!</definedName>
    <definedName name="NCVC100" localSheetId="4">#REF!</definedName>
    <definedName name="NCVC100" localSheetId="5">#REF!</definedName>
    <definedName name="NCVC100">#REF!</definedName>
    <definedName name="NCVC200" localSheetId="2">#REF!</definedName>
    <definedName name="NCVC200" localSheetId="3">#REF!</definedName>
    <definedName name="NCVC200" localSheetId="4">#REF!</definedName>
    <definedName name="NCVC200" localSheetId="5">#REF!</definedName>
    <definedName name="NCVC200">#REF!</definedName>
    <definedName name="NCVC250" localSheetId="2">#REF!</definedName>
    <definedName name="NCVC250" localSheetId="3">#REF!</definedName>
    <definedName name="NCVC250" localSheetId="4">#REF!</definedName>
    <definedName name="NCVC250" localSheetId="5">#REF!</definedName>
    <definedName name="NCVC250">#REF!</definedName>
    <definedName name="NCVC3P" localSheetId="2">#REF!</definedName>
    <definedName name="NCVC3P" localSheetId="3">#REF!</definedName>
    <definedName name="NCVC3P" localSheetId="4">#REF!</definedName>
    <definedName name="NCVC3P" localSheetId="5">#REF!</definedName>
    <definedName name="NCVC3P">#REF!</definedName>
    <definedName name="NET" localSheetId="2">#REF!</definedName>
    <definedName name="NET" localSheetId="3">#REF!</definedName>
    <definedName name="NET" localSheetId="4">#REF!</definedName>
    <definedName name="NET" localSheetId="5">#REF!</definedName>
    <definedName name="NET">#REF!</definedName>
    <definedName name="NET_1" localSheetId="2">#REF!</definedName>
    <definedName name="NET_1" localSheetId="3">#REF!</definedName>
    <definedName name="NET_1" localSheetId="4">#REF!</definedName>
    <definedName name="NET_1" localSheetId="5">#REF!</definedName>
    <definedName name="NET_1">#REF!</definedName>
    <definedName name="NET_ANA" localSheetId="2">#REF!</definedName>
    <definedName name="NET_ANA" localSheetId="3">#REF!</definedName>
    <definedName name="NET_ANA" localSheetId="4">#REF!</definedName>
    <definedName name="NET_ANA" localSheetId="5">#REF!</definedName>
    <definedName name="NET_ANA">#REF!</definedName>
    <definedName name="NET_ANA_1" localSheetId="2">#REF!</definedName>
    <definedName name="NET_ANA_1" localSheetId="3">#REF!</definedName>
    <definedName name="NET_ANA_1" localSheetId="4">#REF!</definedName>
    <definedName name="NET_ANA_1" localSheetId="5">#REF!</definedName>
    <definedName name="NET_ANA_1">#REF!</definedName>
    <definedName name="NET_ANA_2" localSheetId="2">#REF!</definedName>
    <definedName name="NET_ANA_2" localSheetId="3">#REF!</definedName>
    <definedName name="NET_ANA_2" localSheetId="4">#REF!</definedName>
    <definedName name="NET_ANA_2" localSheetId="5">#REF!</definedName>
    <definedName name="NET_ANA_2">#REF!</definedName>
    <definedName name="nig" localSheetId="2">#REF!</definedName>
    <definedName name="nig" localSheetId="3">#REF!</definedName>
    <definedName name="nig" localSheetId="4">#REF!</definedName>
    <definedName name="nig" localSheetId="5">#REF!</definedName>
    <definedName name="nig">#REF!</definedName>
    <definedName name="nig1p" localSheetId="2">#REF!</definedName>
    <definedName name="nig1p" localSheetId="3">#REF!</definedName>
    <definedName name="nig1p" localSheetId="4">#REF!</definedName>
    <definedName name="nig1p" localSheetId="5">#REF!</definedName>
    <definedName name="nig1p">#REF!</definedName>
    <definedName name="nig3p" localSheetId="2">#REF!</definedName>
    <definedName name="nig3p" localSheetId="3">#REF!</definedName>
    <definedName name="nig3p" localSheetId="4">#REF!</definedName>
    <definedName name="nig3p" localSheetId="5">#REF!</definedName>
    <definedName name="nig3p">#REF!</definedName>
    <definedName name="nignc1p" localSheetId="2">#REF!</definedName>
    <definedName name="nignc1p" localSheetId="3">#REF!</definedName>
    <definedName name="nignc1p" localSheetId="4">#REF!</definedName>
    <definedName name="nignc1p" localSheetId="5">#REF!</definedName>
    <definedName name="nignc1p">#REF!</definedName>
    <definedName name="nigvl1p" localSheetId="2">#REF!</definedName>
    <definedName name="nigvl1p" localSheetId="3">#REF!</definedName>
    <definedName name="nigvl1p" localSheetId="4">#REF!</definedName>
    <definedName name="nigvl1p" localSheetId="5">#REF!</definedName>
    <definedName name="nigvl1p">#REF!</definedName>
    <definedName name="nin" localSheetId="2">#REF!</definedName>
    <definedName name="nin" localSheetId="3">#REF!</definedName>
    <definedName name="nin" localSheetId="4">#REF!</definedName>
    <definedName name="nin" localSheetId="5">#REF!</definedName>
    <definedName name="nin">#REF!</definedName>
    <definedName name="nin14nc3p" localSheetId="2">#REF!</definedName>
    <definedName name="nin14nc3p" localSheetId="3">#REF!</definedName>
    <definedName name="nin14nc3p" localSheetId="4">#REF!</definedName>
    <definedName name="nin14nc3p" localSheetId="5">#REF!</definedName>
    <definedName name="nin14nc3p">#REF!</definedName>
    <definedName name="nin14vl3p" localSheetId="2">#REF!</definedName>
    <definedName name="nin14vl3p" localSheetId="3">#REF!</definedName>
    <definedName name="nin14vl3p" localSheetId="4">#REF!</definedName>
    <definedName name="nin14vl3p" localSheetId="5">#REF!</definedName>
    <definedName name="nin14vl3p">#REF!</definedName>
    <definedName name="nin1903p" localSheetId="2">#REF!</definedName>
    <definedName name="nin1903p" localSheetId="3">#REF!</definedName>
    <definedName name="nin1903p" localSheetId="4">#REF!</definedName>
    <definedName name="nin1903p" localSheetId="5">#REF!</definedName>
    <definedName name="nin1903p">#REF!</definedName>
    <definedName name="nin190nc3p" localSheetId="2">#REF!</definedName>
    <definedName name="nin190nc3p" localSheetId="3">#REF!</definedName>
    <definedName name="nin190nc3p" localSheetId="4">#REF!</definedName>
    <definedName name="nin190nc3p" localSheetId="5">#REF!</definedName>
    <definedName name="nin190nc3p">#REF!</definedName>
    <definedName name="nin190vl3p" localSheetId="2">#REF!</definedName>
    <definedName name="nin190vl3p" localSheetId="3">#REF!</definedName>
    <definedName name="nin190vl3p" localSheetId="4">#REF!</definedName>
    <definedName name="nin190vl3p" localSheetId="5">#REF!</definedName>
    <definedName name="nin190vl3p">#REF!</definedName>
    <definedName name="nin2903p" localSheetId="2">#REF!</definedName>
    <definedName name="nin2903p" localSheetId="3">#REF!</definedName>
    <definedName name="nin2903p" localSheetId="4">#REF!</definedName>
    <definedName name="nin2903p" localSheetId="5">#REF!</definedName>
    <definedName name="nin2903p">#REF!</definedName>
    <definedName name="nin290nc3p" localSheetId="2">#REF!</definedName>
    <definedName name="nin290nc3p" localSheetId="3">#REF!</definedName>
    <definedName name="nin290nc3p" localSheetId="4">#REF!</definedName>
    <definedName name="nin290nc3p" localSheetId="5">#REF!</definedName>
    <definedName name="nin290nc3p">#REF!</definedName>
    <definedName name="nin290vl3p" localSheetId="2">#REF!</definedName>
    <definedName name="nin290vl3p" localSheetId="3">#REF!</definedName>
    <definedName name="nin290vl3p" localSheetId="4">#REF!</definedName>
    <definedName name="nin290vl3p" localSheetId="5">#REF!</definedName>
    <definedName name="nin290vl3p">#REF!</definedName>
    <definedName name="nin3p" localSheetId="2">#REF!</definedName>
    <definedName name="nin3p" localSheetId="3">#REF!</definedName>
    <definedName name="nin3p" localSheetId="4">#REF!</definedName>
    <definedName name="nin3p" localSheetId="5">#REF!</definedName>
    <definedName name="nin3p">#REF!</definedName>
    <definedName name="nind" localSheetId="2">#REF!</definedName>
    <definedName name="nind" localSheetId="3">#REF!</definedName>
    <definedName name="nind" localSheetId="4">#REF!</definedName>
    <definedName name="nind" localSheetId="5">#REF!</definedName>
    <definedName name="nind">#REF!</definedName>
    <definedName name="nind1p" localSheetId="2">#REF!</definedName>
    <definedName name="nind1p" localSheetId="3">#REF!</definedName>
    <definedName name="nind1p" localSheetId="4">#REF!</definedName>
    <definedName name="nind1p" localSheetId="5">#REF!</definedName>
    <definedName name="nind1p">#REF!</definedName>
    <definedName name="nind3p" localSheetId="2">#REF!</definedName>
    <definedName name="nind3p" localSheetId="3">#REF!</definedName>
    <definedName name="nind3p" localSheetId="4">#REF!</definedName>
    <definedName name="nind3p" localSheetId="5">#REF!</definedName>
    <definedName name="nind3p">#REF!</definedName>
    <definedName name="nindnc1p" localSheetId="2">#REF!</definedName>
    <definedName name="nindnc1p" localSheetId="3">#REF!</definedName>
    <definedName name="nindnc1p" localSheetId="4">#REF!</definedName>
    <definedName name="nindnc1p" localSheetId="5">#REF!</definedName>
    <definedName name="nindnc1p">#REF!</definedName>
    <definedName name="nindnc3p" localSheetId="2">#REF!</definedName>
    <definedName name="nindnc3p" localSheetId="3">#REF!</definedName>
    <definedName name="nindnc3p" localSheetId="4">#REF!</definedName>
    <definedName name="nindnc3p" localSheetId="5">#REF!</definedName>
    <definedName name="nindnc3p">#REF!</definedName>
    <definedName name="nindvl1p" localSheetId="2">#REF!</definedName>
    <definedName name="nindvl1p" localSheetId="3">#REF!</definedName>
    <definedName name="nindvl1p" localSheetId="4">#REF!</definedName>
    <definedName name="nindvl1p" localSheetId="5">#REF!</definedName>
    <definedName name="nindvl1p">#REF!</definedName>
    <definedName name="nindvl3p" localSheetId="2">#REF!</definedName>
    <definedName name="nindvl3p" localSheetId="3">#REF!</definedName>
    <definedName name="nindvl3p" localSheetId="4">#REF!</definedName>
    <definedName name="nindvl3p" localSheetId="5">#REF!</definedName>
    <definedName name="nindvl3p">#REF!</definedName>
    <definedName name="ninnc3p" localSheetId="2">#REF!</definedName>
    <definedName name="ninnc3p" localSheetId="3">#REF!</definedName>
    <definedName name="ninnc3p" localSheetId="4">#REF!</definedName>
    <definedName name="ninnc3p" localSheetId="5">#REF!</definedName>
    <definedName name="ninnc3p">#REF!</definedName>
    <definedName name="nint1p" localSheetId="2">#REF!</definedName>
    <definedName name="nint1p" localSheetId="3">#REF!</definedName>
    <definedName name="nint1p" localSheetId="4">#REF!</definedName>
    <definedName name="nint1p" localSheetId="5">#REF!</definedName>
    <definedName name="nint1p">#REF!</definedName>
    <definedName name="nintnc1p" localSheetId="2">#REF!</definedName>
    <definedName name="nintnc1p" localSheetId="3">#REF!</definedName>
    <definedName name="nintnc1p" localSheetId="4">#REF!</definedName>
    <definedName name="nintnc1p" localSheetId="5">#REF!</definedName>
    <definedName name="nintnc1p">#REF!</definedName>
    <definedName name="nintvl1p" localSheetId="2">#REF!</definedName>
    <definedName name="nintvl1p" localSheetId="3">#REF!</definedName>
    <definedName name="nintvl1p" localSheetId="4">#REF!</definedName>
    <definedName name="nintvl1p" localSheetId="5">#REF!</definedName>
    <definedName name="nintvl1p">#REF!</definedName>
    <definedName name="ninvl3p" localSheetId="2">#REF!</definedName>
    <definedName name="ninvl3p" localSheetId="3">#REF!</definedName>
    <definedName name="ninvl3p" localSheetId="4">#REF!</definedName>
    <definedName name="ninvl3p" localSheetId="5">#REF!</definedName>
    <definedName name="ninvl3p">#REF!</definedName>
    <definedName name="ning1p" localSheetId="2">#REF!</definedName>
    <definedName name="ning1p" localSheetId="3">#REF!</definedName>
    <definedName name="ning1p" localSheetId="4">#REF!</definedName>
    <definedName name="ning1p" localSheetId="5">#REF!</definedName>
    <definedName name="ning1p">#REF!</definedName>
    <definedName name="ningnc1p" localSheetId="2">#REF!</definedName>
    <definedName name="ningnc1p" localSheetId="3">#REF!</definedName>
    <definedName name="ningnc1p" localSheetId="4">#REF!</definedName>
    <definedName name="ningnc1p" localSheetId="5">#REF!</definedName>
    <definedName name="ningnc1p">#REF!</definedName>
    <definedName name="ningvl1p" localSheetId="2">#REF!</definedName>
    <definedName name="ningvl1p" localSheetId="3">#REF!</definedName>
    <definedName name="ningvl1p" localSheetId="4">#REF!</definedName>
    <definedName name="ningvl1p" localSheetId="5">#REF!</definedName>
    <definedName name="ningvl1p">#REF!</definedName>
    <definedName name="nl" localSheetId="2">#REF!</definedName>
    <definedName name="nl" localSheetId="3">#REF!</definedName>
    <definedName name="nl" localSheetId="4">#REF!</definedName>
    <definedName name="nl" localSheetId="5">#REF!</definedName>
    <definedName name="nl">#REF!</definedName>
    <definedName name="nl1p" localSheetId="2">#REF!</definedName>
    <definedName name="nl1p" localSheetId="3">#REF!</definedName>
    <definedName name="nl1p" localSheetId="4">#REF!</definedName>
    <definedName name="nl1p" localSheetId="5">#REF!</definedName>
    <definedName name="nl1p">#REF!</definedName>
    <definedName name="nl3p" localSheetId="2">#REF!</definedName>
    <definedName name="nl3p" localSheetId="3">#REF!</definedName>
    <definedName name="nl3p" localSheetId="4">#REF!</definedName>
    <definedName name="nl3p" localSheetId="5">#REF!</definedName>
    <definedName name="nl3p">#REF!</definedName>
    <definedName name="nlnc3p" localSheetId="2">#REF!</definedName>
    <definedName name="nlnc3p" localSheetId="3">#REF!</definedName>
    <definedName name="nlnc3p" localSheetId="4">#REF!</definedName>
    <definedName name="nlnc3p" localSheetId="5">#REF!</definedName>
    <definedName name="nlnc3p">#REF!</definedName>
    <definedName name="nlnc3pha" localSheetId="2">#REF!</definedName>
    <definedName name="nlnc3pha" localSheetId="3">#REF!</definedName>
    <definedName name="nlnc3pha" localSheetId="4">#REF!</definedName>
    <definedName name="nlnc3pha" localSheetId="5">#REF!</definedName>
    <definedName name="nlnc3pha">#REF!</definedName>
    <definedName name="NLTK1p" localSheetId="2">#REF!</definedName>
    <definedName name="NLTK1p" localSheetId="3">#REF!</definedName>
    <definedName name="NLTK1p" localSheetId="4">#REF!</definedName>
    <definedName name="NLTK1p" localSheetId="5">#REF!</definedName>
    <definedName name="NLTK1p">#REF!</definedName>
    <definedName name="nlvl3p" localSheetId="2">#REF!</definedName>
    <definedName name="nlvl3p" localSheetId="3">#REF!</definedName>
    <definedName name="nlvl3p" localSheetId="4">#REF!</definedName>
    <definedName name="nlvl3p" localSheetId="5">#REF!</definedName>
    <definedName name="nlvl3p">#REF!</definedName>
    <definedName name="nn" localSheetId="2">#REF!</definedName>
    <definedName name="nn" localSheetId="3">#REF!</definedName>
    <definedName name="nn" localSheetId="4">#REF!</definedName>
    <definedName name="nn" localSheetId="5">#REF!</definedName>
    <definedName name="nn">#REF!</definedName>
    <definedName name="nn1p" localSheetId="2">#REF!</definedName>
    <definedName name="nn1p" localSheetId="3">#REF!</definedName>
    <definedName name="nn1p" localSheetId="4">#REF!</definedName>
    <definedName name="nn1p" localSheetId="5">#REF!</definedName>
    <definedName name="nn1p">#REF!</definedName>
    <definedName name="nn3p" localSheetId="2">#REF!</definedName>
    <definedName name="nn3p" localSheetId="3">#REF!</definedName>
    <definedName name="nn3p" localSheetId="4">#REF!</definedName>
    <definedName name="nn3p" localSheetId="5">#REF!</definedName>
    <definedName name="nn3p">#REF!</definedName>
    <definedName name="nnnc3p" localSheetId="2">#REF!</definedName>
    <definedName name="nnnc3p" localSheetId="3">#REF!</definedName>
    <definedName name="nnnc3p" localSheetId="4">#REF!</definedName>
    <definedName name="nnnc3p" localSheetId="5">#REF!</definedName>
    <definedName name="nnnc3p">#REF!</definedName>
    <definedName name="nnvl3p" localSheetId="2">#REF!</definedName>
    <definedName name="nnvl3p" localSheetId="3">#REF!</definedName>
    <definedName name="nnvl3p" localSheetId="4">#REF!</definedName>
    <definedName name="nnvl3p" localSheetId="5">#REF!</definedName>
    <definedName name="nnvl3p">#REF!</definedName>
    <definedName name="No" localSheetId="2">#REF!</definedName>
    <definedName name="No" localSheetId="3">#REF!</definedName>
    <definedName name="No" localSheetId="4">#REF!</definedName>
    <definedName name="No" localSheetId="5">#REF!</definedName>
    <definedName name="No">#REF!</definedName>
    <definedName name="NQD" localSheetId="2">#REF!</definedName>
    <definedName name="NQD" localSheetId="3">#REF!</definedName>
    <definedName name="NQD" localSheetId="4">#REF!</definedName>
    <definedName name="NQD" localSheetId="5">#REF!</definedName>
    <definedName name="NQD">#REF!</definedName>
    <definedName name="NH" localSheetId="2">#REF!</definedName>
    <definedName name="NH" localSheetId="3">#REF!</definedName>
    <definedName name="NH" localSheetId="4">#REF!</definedName>
    <definedName name="NH" localSheetId="5">#REF!</definedName>
    <definedName name="NH">#REF!</definedName>
    <definedName name="nhn" localSheetId="2">#REF!</definedName>
    <definedName name="nhn" localSheetId="3">#REF!</definedName>
    <definedName name="nhn" localSheetId="4">#REF!</definedName>
    <definedName name="nhn" localSheetId="5">#REF!</definedName>
    <definedName name="nhn">#REF!</definedName>
    <definedName name="NHot" localSheetId="2">#REF!</definedName>
    <definedName name="NHot" localSheetId="3">#REF!</definedName>
    <definedName name="NHot" localSheetId="4">#REF!</definedName>
    <definedName name="NHot" localSheetId="5">#REF!</definedName>
    <definedName name="NHot">#REF!</definedName>
    <definedName name="_xlnm.Print_Area" localSheetId="0">'01'!$A$1:$K$46</definedName>
    <definedName name="_xlnm.Print_Area" localSheetId="1">'PL 01'!$A$1:$R$82</definedName>
    <definedName name="_xlnm.Print_Area" localSheetId="2">'PL 02'!$A$1:$X$46</definedName>
    <definedName name="_xlnm.Print_Area" localSheetId="3">'PL 03'!$A$1:$X$93</definedName>
    <definedName name="_xlnm.Print_Area" localSheetId="4">'PL 04'!$A$1:$AB$1008</definedName>
    <definedName name="_xlnm.Print_Area" localSheetId="5">'PL 05'!$A$1:$AC$52</definedName>
    <definedName name="_xlnm.Print_Area">#REF!</definedName>
    <definedName name="PRINT_AREA_MI" localSheetId="2">#REF!</definedName>
    <definedName name="PRINT_AREA_MI" localSheetId="3">#REF!</definedName>
    <definedName name="PRINT_AREA_MI" localSheetId="4">#REF!</definedName>
    <definedName name="PRINT_AREA_MI" localSheetId="5">#REF!</definedName>
    <definedName name="PRINT_AREA_MI">#REF!</definedName>
    <definedName name="_xlnm.Print_Titles" localSheetId="1">'PL 01'!$6:$7</definedName>
    <definedName name="_xlnm.Print_Titles" localSheetId="2">'PL 02'!$6:$9</definedName>
    <definedName name="_xlnm.Print_Titles" localSheetId="3">'PL 03'!$6:$9</definedName>
    <definedName name="_xlnm.Print_Titles" localSheetId="4">'PL 04'!$6:$9</definedName>
    <definedName name="_xlnm.Print_Titles" localSheetId="5">'PL 05'!$5:$8</definedName>
    <definedName name="_xlnm.Print_Titles" localSheetId="6">'PL 06'!$5:$6</definedName>
    <definedName name="_xlnm.Print_Titles">#N/A</definedName>
    <definedName name="PRINT_TITLES_MI" localSheetId="2">#REF!</definedName>
    <definedName name="PRINT_TITLES_MI" localSheetId="3">#REF!</definedName>
    <definedName name="PRINT_TITLES_MI" localSheetId="4">#REF!</definedName>
    <definedName name="PRINT_TITLES_MI" localSheetId="5">#REF!</definedName>
    <definedName name="PRINT_TITLES_MI">#REF!</definedName>
    <definedName name="PRINTA" localSheetId="2">#REF!</definedName>
    <definedName name="PRINTA" localSheetId="3">#REF!</definedName>
    <definedName name="PRINTA" localSheetId="4">#REF!</definedName>
    <definedName name="PRINTA" localSheetId="5">#REF!</definedName>
    <definedName name="PRINTA">#REF!</definedName>
    <definedName name="PRINTB" localSheetId="2">#REF!</definedName>
    <definedName name="PRINTB" localSheetId="3">#REF!</definedName>
    <definedName name="PRINTB" localSheetId="4">#REF!</definedName>
    <definedName name="PRINTB" localSheetId="5">#REF!</definedName>
    <definedName name="PRINTB">#REF!</definedName>
    <definedName name="PRINTC" localSheetId="2">#REF!</definedName>
    <definedName name="PRINTC" localSheetId="3">#REF!</definedName>
    <definedName name="PRINTC" localSheetId="4">#REF!</definedName>
    <definedName name="PRINTC" localSheetId="5">#REF!</definedName>
    <definedName name="PRINTC">#REF!</definedName>
    <definedName name="PROPOSAL" localSheetId="2">#REF!</definedName>
    <definedName name="PROPOSAL" localSheetId="3">#REF!</definedName>
    <definedName name="PROPOSAL" localSheetId="4">#REF!</definedName>
    <definedName name="PROPOSAL" localSheetId="5">#REF!</definedName>
    <definedName name="PROPOSAL">#REF!</definedName>
    <definedName name="PT_Duong" localSheetId="2">#REF!</definedName>
    <definedName name="PT_Duong" localSheetId="3">#REF!</definedName>
    <definedName name="PT_Duong" localSheetId="4">#REF!</definedName>
    <definedName name="PT_Duong" localSheetId="5">#REF!</definedName>
    <definedName name="PT_Duong">#REF!</definedName>
    <definedName name="ptdg" localSheetId="2">#REF!</definedName>
    <definedName name="ptdg" localSheetId="3">#REF!</definedName>
    <definedName name="ptdg" localSheetId="4">#REF!</definedName>
    <definedName name="ptdg" localSheetId="5">#REF!</definedName>
    <definedName name="ptdg">#REF!</definedName>
    <definedName name="PTDG_cau" localSheetId="2">#REF!</definedName>
    <definedName name="PTDG_cau" localSheetId="3">#REF!</definedName>
    <definedName name="PTDG_cau" localSheetId="4">#REF!</definedName>
    <definedName name="PTDG_cau" localSheetId="5">#REF!</definedName>
    <definedName name="PTDG_cau">#REF!</definedName>
    <definedName name="PY" localSheetId="2">#REF!</definedName>
    <definedName name="PY" localSheetId="3">#REF!</definedName>
    <definedName name="PY" localSheetId="4">#REF!</definedName>
    <definedName name="PY" localSheetId="5">#REF!</definedName>
    <definedName name="PY">#REF!</definedName>
    <definedName name="Phan_cap" localSheetId="2">#REF!</definedName>
    <definedName name="Phan_cap" localSheetId="3">#REF!</definedName>
    <definedName name="Phan_cap" localSheetId="4">#REF!</definedName>
    <definedName name="Phan_cap" localSheetId="5">#REF!</definedName>
    <definedName name="Phan_cap">#REF!</definedName>
    <definedName name="Phi_le_phi" localSheetId="2">#REF!</definedName>
    <definedName name="Phi_le_phi" localSheetId="3">#REF!</definedName>
    <definedName name="Phi_le_phi" localSheetId="4">#REF!</definedName>
    <definedName name="Phi_le_phi" localSheetId="5">#REF!</definedName>
    <definedName name="Phi_le_phi">#REF!</definedName>
    <definedName name="phu_luc_vua" localSheetId="2">#REF!</definedName>
    <definedName name="phu_luc_vua" localSheetId="3">#REF!</definedName>
    <definedName name="phu_luc_vua" localSheetId="4">#REF!</definedName>
    <definedName name="phu_luc_vua" localSheetId="5">#REF!</definedName>
    <definedName name="phu_luc_vua">#REF!</definedName>
    <definedName name="Phuongtrinh" localSheetId="2">#REF!</definedName>
    <definedName name="Phuongtrinh" localSheetId="3">#REF!</definedName>
    <definedName name="Phuongtrinh" localSheetId="4">#REF!</definedName>
    <definedName name="Phuongtrinh" localSheetId="5">#REF!</definedName>
    <definedName name="Phuongtrinh">#REF!</definedName>
    <definedName name="ra11p" localSheetId="2">#REF!</definedName>
    <definedName name="ra11p" localSheetId="3">#REF!</definedName>
    <definedName name="ra11p" localSheetId="4">#REF!</definedName>
    <definedName name="ra11p" localSheetId="5">#REF!</definedName>
    <definedName name="ra11p">#REF!</definedName>
    <definedName name="ra13p" localSheetId="2">#REF!</definedName>
    <definedName name="ra13p" localSheetId="3">#REF!</definedName>
    <definedName name="ra13p" localSheetId="4">#REF!</definedName>
    <definedName name="ra13p" localSheetId="5">#REF!</definedName>
    <definedName name="ra13p">#REF!</definedName>
    <definedName name="scv" localSheetId="2">#REF!</definedName>
    <definedName name="scv" localSheetId="3">#REF!</definedName>
    <definedName name="scv" localSheetId="4">#REF!</definedName>
    <definedName name="scv" localSheetId="5">#REF!</definedName>
    <definedName name="scv">#REF!</definedName>
    <definedName name="SDMONG" localSheetId="2">#REF!</definedName>
    <definedName name="SDMONG" localSheetId="3">#REF!</definedName>
    <definedName name="SDMONG" localSheetId="4">#REF!</definedName>
    <definedName name="SDMONG" localSheetId="5">#REF!</definedName>
    <definedName name="SDMONG">#REF!</definedName>
    <definedName name="sencount" hidden="1">5</definedName>
    <definedName name="SL_CRD" localSheetId="2">#REF!</definedName>
    <definedName name="SL_CRD" localSheetId="3">#REF!</definedName>
    <definedName name="SL_CRD" localSheetId="4">#REF!</definedName>
    <definedName name="SL_CRD" localSheetId="5">#REF!</definedName>
    <definedName name="SL_CRD">#REF!</definedName>
    <definedName name="SL_CRS" localSheetId="2">#REF!</definedName>
    <definedName name="SL_CRS" localSheetId="3">#REF!</definedName>
    <definedName name="SL_CRS" localSheetId="4">#REF!</definedName>
    <definedName name="SL_CRS" localSheetId="5">#REF!</definedName>
    <definedName name="SL_CRS">#REF!</definedName>
    <definedName name="SL_CS" localSheetId="2">#REF!</definedName>
    <definedName name="SL_CS" localSheetId="3">#REF!</definedName>
    <definedName name="SL_CS" localSheetId="4">#REF!</definedName>
    <definedName name="SL_CS" localSheetId="5">#REF!</definedName>
    <definedName name="SL_CS">#REF!</definedName>
    <definedName name="SL_DD" localSheetId="2">#REF!</definedName>
    <definedName name="SL_DD" localSheetId="3">#REF!</definedName>
    <definedName name="SL_DD" localSheetId="4">#REF!</definedName>
    <definedName name="SL_DD" localSheetId="5">#REF!</definedName>
    <definedName name="SL_DD">#REF!</definedName>
    <definedName name="soc3p" localSheetId="2">#REF!</definedName>
    <definedName name="soc3p" localSheetId="3">#REF!</definedName>
    <definedName name="soc3p" localSheetId="4">#REF!</definedName>
    <definedName name="soc3p" localSheetId="5">#REF!</definedName>
    <definedName name="soc3p">#REF!</definedName>
    <definedName name="SORT" localSheetId="2">#REF!</definedName>
    <definedName name="SORT" localSheetId="3">#REF!</definedName>
    <definedName name="SORT" localSheetId="4">#REF!</definedName>
    <definedName name="SORT" localSheetId="5">#REF!</definedName>
    <definedName name="SORT">#REF!</definedName>
    <definedName name="SPEC" localSheetId="2">#REF!</definedName>
    <definedName name="SPEC" localSheetId="3">#REF!</definedName>
    <definedName name="SPEC" localSheetId="4">#REF!</definedName>
    <definedName name="SPEC" localSheetId="5">#REF!</definedName>
    <definedName name="SPEC">#REF!</definedName>
    <definedName name="SPECSUMMARY" localSheetId="2">#REF!</definedName>
    <definedName name="SPECSUMMARY" localSheetId="3">#REF!</definedName>
    <definedName name="SPECSUMMARY" localSheetId="4">#REF!</definedName>
    <definedName name="SPECSUMMARY" localSheetId="5">#REF!</definedName>
    <definedName name="SPECSUMMARY">#REF!</definedName>
    <definedName name="Start_1" localSheetId="2">#REF!</definedName>
    <definedName name="Start_1" localSheetId="3">#REF!</definedName>
    <definedName name="Start_1" localSheetId="4">#REF!</definedName>
    <definedName name="Start_1" localSheetId="5">#REF!</definedName>
    <definedName name="Start_1">#REF!</definedName>
    <definedName name="Start_10" localSheetId="2">#REF!</definedName>
    <definedName name="Start_10" localSheetId="3">#REF!</definedName>
    <definedName name="Start_10" localSheetId="4">#REF!</definedName>
    <definedName name="Start_10" localSheetId="5">#REF!</definedName>
    <definedName name="Start_10">#REF!</definedName>
    <definedName name="Start_11" localSheetId="2">#REF!</definedName>
    <definedName name="Start_11" localSheetId="3">#REF!</definedName>
    <definedName name="Start_11" localSheetId="4">#REF!</definedName>
    <definedName name="Start_11" localSheetId="5">#REF!</definedName>
    <definedName name="Start_11">#REF!</definedName>
    <definedName name="Start_12" localSheetId="2">#REF!</definedName>
    <definedName name="Start_12" localSheetId="3">#REF!</definedName>
    <definedName name="Start_12" localSheetId="4">#REF!</definedName>
    <definedName name="Start_12" localSheetId="5">#REF!</definedName>
    <definedName name="Start_12">#REF!</definedName>
    <definedName name="Start_13" localSheetId="2">#REF!</definedName>
    <definedName name="Start_13" localSheetId="3">#REF!</definedName>
    <definedName name="Start_13" localSheetId="4">#REF!</definedName>
    <definedName name="Start_13" localSheetId="5">#REF!</definedName>
    <definedName name="Start_13">#REF!</definedName>
    <definedName name="Start_2" localSheetId="2">#REF!</definedName>
    <definedName name="Start_2" localSheetId="3">#REF!</definedName>
    <definedName name="Start_2" localSheetId="4">#REF!</definedName>
    <definedName name="Start_2" localSheetId="5">#REF!</definedName>
    <definedName name="Start_2">#REF!</definedName>
    <definedName name="Start_3" localSheetId="2">#REF!</definedName>
    <definedName name="Start_3" localSheetId="3">#REF!</definedName>
    <definedName name="Start_3" localSheetId="4">#REF!</definedName>
    <definedName name="Start_3" localSheetId="5">#REF!</definedName>
    <definedName name="Start_3">#REF!</definedName>
    <definedName name="Start_4" localSheetId="2">#REF!</definedName>
    <definedName name="Start_4" localSheetId="3">#REF!</definedName>
    <definedName name="Start_4" localSheetId="4">#REF!</definedName>
    <definedName name="Start_4" localSheetId="5">#REF!</definedName>
    <definedName name="Start_4">#REF!</definedName>
    <definedName name="Start_5" localSheetId="2">#REF!</definedName>
    <definedName name="Start_5" localSheetId="3">#REF!</definedName>
    <definedName name="Start_5" localSheetId="4">#REF!</definedName>
    <definedName name="Start_5" localSheetId="5">#REF!</definedName>
    <definedName name="Start_5">#REF!</definedName>
    <definedName name="Start_6" localSheetId="2">#REF!</definedName>
    <definedName name="Start_6" localSheetId="3">#REF!</definedName>
    <definedName name="Start_6" localSheetId="4">#REF!</definedName>
    <definedName name="Start_6" localSheetId="5">#REF!</definedName>
    <definedName name="Start_6">#REF!</definedName>
    <definedName name="Start_7" localSheetId="2">#REF!</definedName>
    <definedName name="Start_7" localSheetId="3">#REF!</definedName>
    <definedName name="Start_7" localSheetId="4">#REF!</definedName>
    <definedName name="Start_7" localSheetId="5">#REF!</definedName>
    <definedName name="Start_7">#REF!</definedName>
    <definedName name="Start_8" localSheetId="2">#REF!</definedName>
    <definedName name="Start_8" localSheetId="3">#REF!</definedName>
    <definedName name="Start_8" localSheetId="4">#REF!</definedName>
    <definedName name="Start_8" localSheetId="5">#REF!</definedName>
    <definedName name="Start_8">#REF!</definedName>
    <definedName name="Start_9" localSheetId="2">#REF!</definedName>
    <definedName name="Start_9" localSheetId="3">#REF!</definedName>
    <definedName name="Start_9" localSheetId="4">#REF!</definedName>
    <definedName name="Start_9" localSheetId="5">#REF!</definedName>
    <definedName name="Start_9">#REF!</definedName>
    <definedName name="SUMMARY" localSheetId="2">#REF!</definedName>
    <definedName name="SUMMARY" localSheetId="3">#REF!</definedName>
    <definedName name="SUMMARY" localSheetId="4">#REF!</definedName>
    <definedName name="SUMMARY" localSheetId="5">#REF!</definedName>
    <definedName name="SUMMARY">#REF!</definedName>
    <definedName name="T1_98_DAKLAK_List" localSheetId="2">#REF!</definedName>
    <definedName name="T1_98_DAKLAK_List" localSheetId="3">#REF!</definedName>
    <definedName name="T1_98_DAKLAK_List" localSheetId="4">#REF!</definedName>
    <definedName name="T1_98_DAKLAK_List" localSheetId="5">#REF!</definedName>
    <definedName name="T1_98_DAKLAK_List">#REF!</definedName>
    <definedName name="t101p" localSheetId="2">#REF!</definedName>
    <definedName name="t101p" localSheetId="3">#REF!</definedName>
    <definedName name="t101p" localSheetId="4">#REF!</definedName>
    <definedName name="t101p" localSheetId="5">#REF!</definedName>
    <definedName name="t101p">#REF!</definedName>
    <definedName name="t103p" localSheetId="2">#REF!</definedName>
    <definedName name="t103p" localSheetId="3">#REF!</definedName>
    <definedName name="t103p" localSheetId="4">#REF!</definedName>
    <definedName name="t103p" localSheetId="5">#REF!</definedName>
    <definedName name="t103p">#REF!</definedName>
    <definedName name="t10nc1p" localSheetId="2">#REF!</definedName>
    <definedName name="t10nc1p" localSheetId="3">#REF!</definedName>
    <definedName name="t10nc1p" localSheetId="4">#REF!</definedName>
    <definedName name="t10nc1p" localSheetId="5">#REF!</definedName>
    <definedName name="t10nc1p">#REF!</definedName>
    <definedName name="t10vl1p" localSheetId="2">#REF!</definedName>
    <definedName name="t10vl1p" localSheetId="3">#REF!</definedName>
    <definedName name="t10vl1p" localSheetId="4">#REF!</definedName>
    <definedName name="t10vl1p" localSheetId="5">#REF!</definedName>
    <definedName name="t10vl1p">#REF!</definedName>
    <definedName name="t121p" localSheetId="2">#REF!</definedName>
    <definedName name="t121p" localSheetId="3">#REF!</definedName>
    <definedName name="t121p" localSheetId="4">#REF!</definedName>
    <definedName name="t121p" localSheetId="5">#REF!</definedName>
    <definedName name="t121p">#REF!</definedName>
    <definedName name="t123p" localSheetId="2">#REF!</definedName>
    <definedName name="t123p" localSheetId="3">#REF!</definedName>
    <definedName name="t123p" localSheetId="4">#REF!</definedName>
    <definedName name="t123p" localSheetId="5">#REF!</definedName>
    <definedName name="t123p">#REF!</definedName>
    <definedName name="t141p" localSheetId="2">#REF!</definedName>
    <definedName name="t141p" localSheetId="3">#REF!</definedName>
    <definedName name="t141p" localSheetId="4">#REF!</definedName>
    <definedName name="t141p" localSheetId="5">#REF!</definedName>
    <definedName name="t141p">#REF!</definedName>
    <definedName name="t143p" localSheetId="2">#REF!</definedName>
    <definedName name="t143p" localSheetId="3">#REF!</definedName>
    <definedName name="t143p" localSheetId="4">#REF!</definedName>
    <definedName name="t143p" localSheetId="5">#REF!</definedName>
    <definedName name="t143p">#REF!</definedName>
    <definedName name="t14nc3p" localSheetId="2">#REF!</definedName>
    <definedName name="t14nc3p" localSheetId="3">#REF!</definedName>
    <definedName name="t14nc3p" localSheetId="4">#REF!</definedName>
    <definedName name="t14nc3p" localSheetId="5">#REF!</definedName>
    <definedName name="t14nc3p">#REF!</definedName>
    <definedName name="t14vl3p" localSheetId="2">#REF!</definedName>
    <definedName name="t14vl3p" localSheetId="3">#REF!</definedName>
    <definedName name="t14vl3p" localSheetId="4">#REF!</definedName>
    <definedName name="t14vl3p" localSheetId="5">#REF!</definedName>
    <definedName name="t14vl3p">#REF!</definedName>
    <definedName name="TBA" localSheetId="2">#REF!</definedName>
    <definedName name="TBA" localSheetId="3">#REF!</definedName>
    <definedName name="TBA" localSheetId="4">#REF!</definedName>
    <definedName name="TBA" localSheetId="5">#REF!</definedName>
    <definedName name="TBA">#REF!</definedName>
    <definedName name="tbtram" localSheetId="2">#REF!</definedName>
    <definedName name="tbtram" localSheetId="3">#REF!</definedName>
    <definedName name="tbtram" localSheetId="4">#REF!</definedName>
    <definedName name="tbtram" localSheetId="5">#REF!</definedName>
    <definedName name="tbtram">#REF!</definedName>
    <definedName name="TC" localSheetId="2">#REF!</definedName>
    <definedName name="TC" localSheetId="3">#REF!</definedName>
    <definedName name="TC" localSheetId="4">#REF!</definedName>
    <definedName name="TC" localSheetId="5">#REF!</definedName>
    <definedName name="TC">#REF!</definedName>
    <definedName name="TC_NHANH1" localSheetId="2">#REF!</definedName>
    <definedName name="TC_NHANH1" localSheetId="3">#REF!</definedName>
    <definedName name="TC_NHANH1" localSheetId="4">#REF!</definedName>
    <definedName name="TC_NHANH1" localSheetId="5">#REF!</definedName>
    <definedName name="TC_NHANH1">#REF!</definedName>
    <definedName name="td1p" localSheetId="2">#REF!</definedName>
    <definedName name="td1p" localSheetId="3">#REF!</definedName>
    <definedName name="td1p" localSheetId="4">#REF!</definedName>
    <definedName name="td1p" localSheetId="5">#REF!</definedName>
    <definedName name="td1p">#REF!</definedName>
    <definedName name="td3p" localSheetId="2">#REF!</definedName>
    <definedName name="td3p" localSheetId="3">#REF!</definedName>
    <definedName name="td3p" localSheetId="4">#REF!</definedName>
    <definedName name="td3p" localSheetId="5">#REF!</definedName>
    <definedName name="td3p">#REF!</definedName>
    <definedName name="tdnc1p" localSheetId="2">#REF!</definedName>
    <definedName name="tdnc1p" localSheetId="3">#REF!</definedName>
    <definedName name="tdnc1p" localSheetId="4">#REF!</definedName>
    <definedName name="tdnc1p" localSheetId="5">#REF!</definedName>
    <definedName name="tdnc1p">#REF!</definedName>
    <definedName name="tdtr2cnc" localSheetId="2">#REF!</definedName>
    <definedName name="tdtr2cnc" localSheetId="3">#REF!</definedName>
    <definedName name="tdtr2cnc" localSheetId="4">#REF!</definedName>
    <definedName name="tdtr2cnc" localSheetId="5">#REF!</definedName>
    <definedName name="tdtr2cnc">#REF!</definedName>
    <definedName name="tdtr2cvl" localSheetId="2">#REF!</definedName>
    <definedName name="tdtr2cvl" localSheetId="3">#REF!</definedName>
    <definedName name="tdtr2cvl" localSheetId="4">#REF!</definedName>
    <definedName name="tdtr2cvl" localSheetId="5">#REF!</definedName>
    <definedName name="tdtr2cvl">#REF!</definedName>
    <definedName name="tdvl1p" localSheetId="2">#REF!</definedName>
    <definedName name="tdvl1p" localSheetId="3">#REF!</definedName>
    <definedName name="tdvl1p" localSheetId="4">#REF!</definedName>
    <definedName name="tdvl1p" localSheetId="5">#REF!</definedName>
    <definedName name="tdvl1p">#REF!</definedName>
    <definedName name="Tien" localSheetId="2">#REF!</definedName>
    <definedName name="Tien" localSheetId="3">#REF!</definedName>
    <definedName name="Tien" localSheetId="4">#REF!</definedName>
    <definedName name="Tien" localSheetId="5">#REF!</definedName>
    <definedName name="Tien">#REF!</definedName>
    <definedName name="TIENLUONG" localSheetId="2">#REF!</definedName>
    <definedName name="TIENLUONG" localSheetId="3">#REF!</definedName>
    <definedName name="TIENLUONG" localSheetId="4">#REF!</definedName>
    <definedName name="TIENLUONG" localSheetId="5">#REF!</definedName>
    <definedName name="TIENLUONG">#REF!</definedName>
    <definedName name="TKCS" localSheetId="2">#REF!</definedName>
    <definedName name="TKCS" localSheetId="3">#REF!</definedName>
    <definedName name="TKCS" localSheetId="4">#REF!</definedName>
    <definedName name="TKCS" localSheetId="5">#REF!</definedName>
    <definedName name="TKCS">#REF!</definedName>
    <definedName name="TKP" localSheetId="2">#REF!</definedName>
    <definedName name="TKP" localSheetId="3">#REF!</definedName>
    <definedName name="TKP" localSheetId="4">#REF!</definedName>
    <definedName name="TKP" localSheetId="5">#REF!</definedName>
    <definedName name="TKP">#REF!</definedName>
    <definedName name="TKPÑZ" localSheetId="2">#REF!</definedName>
    <definedName name="TKPÑZ" localSheetId="3">#REF!</definedName>
    <definedName name="TKPÑZ" localSheetId="4">#REF!</definedName>
    <definedName name="TKPÑZ" localSheetId="5">#REF!</definedName>
    <definedName name="TKPÑZ">#REF!</definedName>
    <definedName name="TKPTBA" localSheetId="2">#REF!</definedName>
    <definedName name="TKPTBA" localSheetId="3">#REF!</definedName>
    <definedName name="TKPTBA" localSheetId="4">#REF!</definedName>
    <definedName name="TKPTBA" localSheetId="5">#REF!</definedName>
    <definedName name="TKPTBA">#REF!</definedName>
    <definedName name="TKYB">"TKYB"</definedName>
    <definedName name="TLAC120" localSheetId="2">#REF!</definedName>
    <definedName name="TLAC120" localSheetId="3">#REF!</definedName>
    <definedName name="TLAC120" localSheetId="4">#REF!</definedName>
    <definedName name="TLAC120" localSheetId="5">#REF!</definedName>
    <definedName name="TLAC120">#REF!</definedName>
    <definedName name="TLAC35" localSheetId="2">#REF!</definedName>
    <definedName name="TLAC35" localSheetId="3">#REF!</definedName>
    <definedName name="TLAC35" localSheetId="4">#REF!</definedName>
    <definedName name="TLAC35" localSheetId="5">#REF!</definedName>
    <definedName name="TLAC35">#REF!</definedName>
    <definedName name="TLAC50" localSheetId="2">#REF!</definedName>
    <definedName name="TLAC50" localSheetId="3">#REF!</definedName>
    <definedName name="TLAC50" localSheetId="4">#REF!</definedName>
    <definedName name="TLAC50" localSheetId="5">#REF!</definedName>
    <definedName name="TLAC50">#REF!</definedName>
    <definedName name="TLAC70" localSheetId="2">#REF!</definedName>
    <definedName name="TLAC70" localSheetId="3">#REF!</definedName>
    <definedName name="TLAC70" localSheetId="4">#REF!</definedName>
    <definedName name="TLAC70" localSheetId="5">#REF!</definedName>
    <definedName name="TLAC70">#REF!</definedName>
    <definedName name="TLAC95" localSheetId="2">#REF!</definedName>
    <definedName name="TLAC95" localSheetId="3">#REF!</definedName>
    <definedName name="TLAC95" localSheetId="4">#REF!</definedName>
    <definedName name="TLAC95" localSheetId="5">#REF!</definedName>
    <definedName name="TLAC95">#REF!</definedName>
    <definedName name="Tle" localSheetId="2">#REF!</definedName>
    <definedName name="Tle" localSheetId="3">#REF!</definedName>
    <definedName name="Tle" localSheetId="4">#REF!</definedName>
    <definedName name="Tle" localSheetId="5">#REF!</definedName>
    <definedName name="Tle">#REF!</definedName>
    <definedName name="TÑNCKT" localSheetId="2">#REF!</definedName>
    <definedName name="TÑNCKT" localSheetId="3">#REF!</definedName>
    <definedName name="TÑNCKT" localSheetId="4">#REF!</definedName>
    <definedName name="TÑNCKT" localSheetId="5">#REF!</definedName>
    <definedName name="TÑNCKT">#REF!</definedName>
    <definedName name="TÑTDT" localSheetId="2">#REF!</definedName>
    <definedName name="TÑTDT" localSheetId="3">#REF!</definedName>
    <definedName name="TÑTDT" localSheetId="4">#REF!</definedName>
    <definedName name="TÑTDT" localSheetId="5">#REF!</definedName>
    <definedName name="TÑTDT">#REF!</definedName>
    <definedName name="TÑTKKT" localSheetId="2">#REF!</definedName>
    <definedName name="TÑTKKT" localSheetId="3">#REF!</definedName>
    <definedName name="TÑTKKT" localSheetId="4">#REF!</definedName>
    <definedName name="TÑTKKT" localSheetId="5">#REF!</definedName>
    <definedName name="TÑTKKT">#REF!</definedName>
    <definedName name="TT_1P" localSheetId="2">#REF!</definedName>
    <definedName name="TT_1P" localSheetId="3">#REF!</definedName>
    <definedName name="TT_1P" localSheetId="4">#REF!</definedName>
    <definedName name="TT_1P" localSheetId="5">#REF!</definedName>
    <definedName name="TT_1P">#REF!</definedName>
    <definedName name="TT_3p" localSheetId="2">#REF!</definedName>
    <definedName name="TT_3p" localSheetId="3">#REF!</definedName>
    <definedName name="TT_3p" localSheetId="4">#REF!</definedName>
    <definedName name="TT_3p" localSheetId="5">#REF!</definedName>
    <definedName name="TT_3p">#REF!</definedName>
    <definedName name="tthi" localSheetId="2">#REF!</definedName>
    <definedName name="tthi" localSheetId="3">#REF!</definedName>
    <definedName name="tthi" localSheetId="4">#REF!</definedName>
    <definedName name="tthi" localSheetId="5">#REF!</definedName>
    <definedName name="tthi">#REF!</definedName>
    <definedName name="ttronmk" localSheetId="2">#REF!</definedName>
    <definedName name="ttronmk" localSheetId="3">#REF!</definedName>
    <definedName name="ttronmk" localSheetId="4">#REF!</definedName>
    <definedName name="ttronmk" localSheetId="5">#REF!</definedName>
    <definedName name="ttronmk">#REF!</definedName>
    <definedName name="tv75nc" localSheetId="2">#REF!</definedName>
    <definedName name="tv75nc" localSheetId="3">#REF!</definedName>
    <definedName name="tv75nc" localSheetId="4">#REF!</definedName>
    <definedName name="tv75nc" localSheetId="5">#REF!</definedName>
    <definedName name="tv75nc">#REF!</definedName>
    <definedName name="tv75vl" localSheetId="2">#REF!</definedName>
    <definedName name="tv75vl" localSheetId="3">#REF!</definedName>
    <definedName name="tv75vl" localSheetId="4">#REF!</definedName>
    <definedName name="tv75vl" localSheetId="5">#REF!</definedName>
    <definedName name="tv75vl">#REF!</definedName>
    <definedName name="TW" localSheetId="2">#REF!</definedName>
    <definedName name="TW" localSheetId="3">#REF!</definedName>
    <definedName name="TW" localSheetId="4">#REF!</definedName>
    <definedName name="TW" localSheetId="5">#REF!</definedName>
    <definedName name="TW">#REF!</definedName>
    <definedName name="ty_le" localSheetId="2">#REF!</definedName>
    <definedName name="ty_le" localSheetId="3">#REF!</definedName>
    <definedName name="ty_le" localSheetId="4">#REF!</definedName>
    <definedName name="ty_le" localSheetId="5">#REF!</definedName>
    <definedName name="ty_le">#REF!</definedName>
    <definedName name="ty_le_BTN" localSheetId="2">#REF!</definedName>
    <definedName name="ty_le_BTN" localSheetId="3">#REF!</definedName>
    <definedName name="ty_le_BTN" localSheetId="4">#REF!</definedName>
    <definedName name="ty_le_BTN" localSheetId="5">#REF!</definedName>
    <definedName name="ty_le_BTN">#REF!</definedName>
    <definedName name="Ty_le1" localSheetId="2">#REF!</definedName>
    <definedName name="Ty_le1" localSheetId="3">#REF!</definedName>
    <definedName name="Ty_le1" localSheetId="4">#REF!</definedName>
    <definedName name="Ty_le1" localSheetId="5">#REF!</definedName>
    <definedName name="Ty_le1">#REF!</definedName>
    <definedName name="tÝch__m2" localSheetId="2">#REF!</definedName>
    <definedName name="tÝch__m2" localSheetId="3">#REF!</definedName>
    <definedName name="tÝch__m2" localSheetId="4">#REF!</definedName>
    <definedName name="tÝch__m2" localSheetId="5">#REF!</definedName>
    <definedName name="tÝch__m2">#REF!</definedName>
    <definedName name="THGO1pnc" localSheetId="2">#REF!</definedName>
    <definedName name="THGO1pnc" localSheetId="3">#REF!</definedName>
    <definedName name="THGO1pnc" localSheetId="4">#REF!</definedName>
    <definedName name="THGO1pnc" localSheetId="5">#REF!</definedName>
    <definedName name="THGO1pnc">#REF!</definedName>
    <definedName name="thht" localSheetId="2">#REF!</definedName>
    <definedName name="thht" localSheetId="3">#REF!</definedName>
    <definedName name="thht" localSheetId="4">#REF!</definedName>
    <definedName name="thht" localSheetId="5">#REF!</definedName>
    <definedName name="thht">#REF!</definedName>
    <definedName name="ThisYear" localSheetId="2">#REF!</definedName>
    <definedName name="ThisYear" localSheetId="3">#REF!</definedName>
    <definedName name="ThisYear" localSheetId="4">#REF!</definedName>
    <definedName name="ThisYear" localSheetId="5">#REF!</definedName>
    <definedName name="ThisYear">#REF!</definedName>
    <definedName name="ThisYearDN" localSheetId="2">#REF!</definedName>
    <definedName name="ThisYearDN" localSheetId="3">#REF!</definedName>
    <definedName name="ThisYearDN" localSheetId="4">#REF!</definedName>
    <definedName name="ThisYearDN" localSheetId="5">#REF!</definedName>
    <definedName name="ThisYearDN">#REF!</definedName>
    <definedName name="ThisYearHCMN" localSheetId="2">#REF!</definedName>
    <definedName name="ThisYearHCMN" localSheetId="3">#REF!</definedName>
    <definedName name="ThisYearHCMN" localSheetId="4">#REF!</definedName>
    <definedName name="ThisYearHCMN" localSheetId="5">#REF!</definedName>
    <definedName name="ThisYearHCMN">#REF!</definedName>
    <definedName name="ThisYearHCMS" localSheetId="2">#REF!</definedName>
    <definedName name="ThisYearHCMS" localSheetId="3">#REF!</definedName>
    <definedName name="ThisYearHCMS" localSheetId="4">#REF!</definedName>
    <definedName name="ThisYearHCMS" localSheetId="5">#REF!</definedName>
    <definedName name="ThisYearHCMS">#REF!</definedName>
    <definedName name="ThisYearHN" localSheetId="2">#REF!</definedName>
    <definedName name="ThisYearHN" localSheetId="3">#REF!</definedName>
    <definedName name="ThisYearHN" localSheetId="4">#REF!</definedName>
    <definedName name="ThisYearHN" localSheetId="5">#REF!</definedName>
    <definedName name="ThisYearHN">#REF!</definedName>
    <definedName name="ThisYearMeKong" localSheetId="2">#REF!</definedName>
    <definedName name="ThisYearMeKong" localSheetId="3">#REF!</definedName>
    <definedName name="ThisYearMeKong" localSheetId="4">#REF!</definedName>
    <definedName name="ThisYearMeKong" localSheetId="5">#REF!</definedName>
    <definedName name="ThisYearMeKong">#REF!</definedName>
    <definedName name="ThisYearMienDong" localSheetId="2">#REF!</definedName>
    <definedName name="ThisYearMienDong" localSheetId="3">#REF!</definedName>
    <definedName name="ThisYearMienDong" localSheetId="4">#REF!</definedName>
    <definedName name="ThisYearMienDong" localSheetId="5">#REF!</definedName>
    <definedName name="ThisYearMienDong">#REF!</definedName>
    <definedName name="ThisYearNT" localSheetId="2">#REF!</definedName>
    <definedName name="ThisYearNT" localSheetId="3">#REF!</definedName>
    <definedName name="ThisYearNT" localSheetId="4">#REF!</definedName>
    <definedName name="ThisYearNT" localSheetId="5">#REF!</definedName>
    <definedName name="ThisYearNT">#REF!</definedName>
    <definedName name="ThisYearNTDzo" localSheetId="2">#REF!</definedName>
    <definedName name="ThisYearNTDzo" localSheetId="3">#REF!</definedName>
    <definedName name="ThisYearNTDzo" localSheetId="4">#REF!</definedName>
    <definedName name="ThisYearNTDzo" localSheetId="5">#REF!</definedName>
    <definedName name="ThisYearNTDzo">#REF!</definedName>
    <definedName name="thkp3" localSheetId="2">#REF!</definedName>
    <definedName name="thkp3" localSheetId="3">#REF!</definedName>
    <definedName name="thkp3" localSheetId="4">#REF!</definedName>
    <definedName name="thkp3" localSheetId="5">#REF!</definedName>
    <definedName name="thkp3">#REF!</definedName>
    <definedName name="thtt" localSheetId="2">#REF!</definedName>
    <definedName name="thtt" localSheetId="3">#REF!</definedName>
    <definedName name="thtt" localSheetId="4">#REF!</definedName>
    <definedName name="thtt" localSheetId="5">#REF!</definedName>
    <definedName name="thtt">#REF!</definedName>
    <definedName name="Tra_DM_su_dung" localSheetId="2">#REF!</definedName>
    <definedName name="Tra_DM_su_dung" localSheetId="3">#REF!</definedName>
    <definedName name="Tra_DM_su_dung" localSheetId="4">#REF!</definedName>
    <definedName name="Tra_DM_su_dung" localSheetId="5">#REF!</definedName>
    <definedName name="Tra_DM_su_dung">#REF!</definedName>
    <definedName name="Tra_don_gia_KS" localSheetId="2">#REF!</definedName>
    <definedName name="Tra_don_gia_KS" localSheetId="3">#REF!</definedName>
    <definedName name="Tra_don_gia_KS" localSheetId="4">#REF!</definedName>
    <definedName name="Tra_don_gia_KS" localSheetId="5">#REF!</definedName>
    <definedName name="Tra_don_gia_KS">#REF!</definedName>
    <definedName name="Tra_DTCT" localSheetId="2">#REF!</definedName>
    <definedName name="Tra_DTCT" localSheetId="3">#REF!</definedName>
    <definedName name="Tra_DTCT" localSheetId="4">#REF!</definedName>
    <definedName name="Tra_DTCT" localSheetId="5">#REF!</definedName>
    <definedName name="Tra_DTCT">#REF!</definedName>
    <definedName name="Tra_tim_hang_mucPT_trung" localSheetId="2">#REF!</definedName>
    <definedName name="Tra_tim_hang_mucPT_trung" localSheetId="3">#REF!</definedName>
    <definedName name="Tra_tim_hang_mucPT_trung" localSheetId="4">#REF!</definedName>
    <definedName name="Tra_tim_hang_mucPT_trung" localSheetId="5">#REF!</definedName>
    <definedName name="Tra_tim_hang_mucPT_trung">#REF!</definedName>
    <definedName name="Tra_TL" localSheetId="2">#REF!</definedName>
    <definedName name="Tra_TL" localSheetId="3">#REF!</definedName>
    <definedName name="Tra_TL" localSheetId="4">#REF!</definedName>
    <definedName name="Tra_TL" localSheetId="5">#REF!</definedName>
    <definedName name="Tra_TL">#REF!</definedName>
    <definedName name="Tra_ty_le2" localSheetId="2">#REF!</definedName>
    <definedName name="Tra_ty_le2" localSheetId="3">#REF!</definedName>
    <definedName name="Tra_ty_le2" localSheetId="4">#REF!</definedName>
    <definedName name="Tra_ty_le2" localSheetId="5">#REF!</definedName>
    <definedName name="Tra_ty_le2">#REF!</definedName>
    <definedName name="Tra_ty_le3" localSheetId="2">#REF!</definedName>
    <definedName name="Tra_ty_le3" localSheetId="3">#REF!</definedName>
    <definedName name="Tra_ty_le3" localSheetId="4">#REF!</definedName>
    <definedName name="Tra_ty_le3" localSheetId="5">#REF!</definedName>
    <definedName name="Tra_ty_le3">#REF!</definedName>
    <definedName name="Tra_ty_le4" localSheetId="2">#REF!</definedName>
    <definedName name="Tra_ty_le4" localSheetId="3">#REF!</definedName>
    <definedName name="Tra_ty_le4" localSheetId="4">#REF!</definedName>
    <definedName name="Tra_ty_le4" localSheetId="5">#REF!</definedName>
    <definedName name="Tra_ty_le4">#REF!</definedName>
    <definedName name="Tra_ty_le5" localSheetId="2">#REF!</definedName>
    <definedName name="Tra_ty_le5" localSheetId="3">#REF!</definedName>
    <definedName name="Tra_ty_le5" localSheetId="4">#REF!</definedName>
    <definedName name="Tra_ty_le5" localSheetId="5">#REF!</definedName>
    <definedName name="Tra_ty_le5">#REF!</definedName>
    <definedName name="TrÇn_V_n_Minh" localSheetId="2">#REF!</definedName>
    <definedName name="TrÇn_V_n_Minh" localSheetId="3">#REF!</definedName>
    <definedName name="TrÇn_V_n_Minh" localSheetId="4">#REF!</definedName>
    <definedName name="TrÇn_V_n_Minh" localSheetId="5">#REF!</definedName>
    <definedName name="TrÇn_V_n_Minh">#REF!</definedName>
    <definedName name="VARIINST" localSheetId="2">#REF!</definedName>
    <definedName name="VARIINST" localSheetId="3">#REF!</definedName>
    <definedName name="VARIINST" localSheetId="4">#REF!</definedName>
    <definedName name="VARIINST" localSheetId="5">#REF!</definedName>
    <definedName name="VARIINST">#REF!</definedName>
    <definedName name="VARIPURC" localSheetId="2">#REF!</definedName>
    <definedName name="VARIPURC" localSheetId="3">#REF!</definedName>
    <definedName name="VARIPURC" localSheetId="4">#REF!</definedName>
    <definedName name="VARIPURC" localSheetId="5">#REF!</definedName>
    <definedName name="VARIPURC">#REF!</definedName>
    <definedName name="VCTT" localSheetId="2">#REF!</definedName>
    <definedName name="VCTT" localSheetId="3">#REF!</definedName>
    <definedName name="VCTT" localSheetId="4">#REF!</definedName>
    <definedName name="VCTT" localSheetId="5">#REF!</definedName>
    <definedName name="VCTT">#REF!</definedName>
    <definedName name="VCHT" localSheetId="2">#REF!</definedName>
    <definedName name="VCHT" localSheetId="3">#REF!</definedName>
    <definedName name="VCHT" localSheetId="4">#REF!</definedName>
    <definedName name="VCHT" localSheetId="5">#REF!</definedName>
    <definedName name="VCHT">#REF!</definedName>
    <definedName name="vd3p" localSheetId="2">#REF!</definedName>
    <definedName name="vd3p" localSheetId="3">#REF!</definedName>
    <definedName name="vd3p" localSheetId="4">#REF!</definedName>
    <definedName name="vd3p" localSheetId="5">#REF!</definedName>
    <definedName name="vd3p">#REF!</definedName>
    <definedName name="vl1p" localSheetId="2">#REF!</definedName>
    <definedName name="vl1p" localSheetId="3">#REF!</definedName>
    <definedName name="vl1p" localSheetId="4">#REF!</definedName>
    <definedName name="vl1p" localSheetId="5">#REF!</definedName>
    <definedName name="vl1p">#REF!</definedName>
    <definedName name="vl3p" localSheetId="2">#REF!</definedName>
    <definedName name="vl3p" localSheetId="3">#REF!</definedName>
    <definedName name="vl3p" localSheetId="4">#REF!</definedName>
    <definedName name="vl3p" localSheetId="5">#REF!</definedName>
    <definedName name="vl3p">#REF!</definedName>
    <definedName name="vldn400" localSheetId="2">#REF!</definedName>
    <definedName name="vldn400" localSheetId="3">#REF!</definedName>
    <definedName name="vldn400" localSheetId="4">#REF!</definedName>
    <definedName name="vldn400" localSheetId="5">#REF!</definedName>
    <definedName name="vldn400">#REF!</definedName>
    <definedName name="vldn600" localSheetId="2">#REF!</definedName>
    <definedName name="vldn600" localSheetId="3">#REF!</definedName>
    <definedName name="vldn600" localSheetId="4">#REF!</definedName>
    <definedName name="vldn600" localSheetId="5">#REF!</definedName>
    <definedName name="vldn600">#REF!</definedName>
    <definedName name="VLIEU" localSheetId="2">#REF!</definedName>
    <definedName name="VLIEU" localSheetId="3">#REF!</definedName>
    <definedName name="VLIEU" localSheetId="4">#REF!</definedName>
    <definedName name="VLIEU" localSheetId="5">#REF!</definedName>
    <definedName name="VLIEU">#REF!</definedName>
    <definedName name="vltram" localSheetId="2">#REF!</definedName>
    <definedName name="vltram" localSheetId="3">#REF!</definedName>
    <definedName name="vltram" localSheetId="4">#REF!</definedName>
    <definedName name="vltram" localSheetId="5">#REF!</definedName>
    <definedName name="vltram">#REF!</definedName>
    <definedName name="vr3p" localSheetId="2">#REF!</definedName>
    <definedName name="vr3p" localSheetId="3">#REF!</definedName>
    <definedName name="vr3p" localSheetId="4">#REF!</definedName>
    <definedName name="vr3p" localSheetId="5">#REF!</definedName>
    <definedName name="vr3p">#REF!</definedName>
    <definedName name="W" localSheetId="2">#REF!</definedName>
    <definedName name="W" localSheetId="3">#REF!</definedName>
    <definedName name="W" localSheetId="4">#REF!</definedName>
    <definedName name="W" localSheetId="5">#REF!</definedName>
    <definedName name="W">#REF!</definedName>
    <definedName name="wrn.chi._.tiÆt." localSheetId="2" hidden="1">{#N/A,#N/A,FALSE,"Chi tiÆt"}</definedName>
    <definedName name="wrn.chi._.tiÆt." localSheetId="3" hidden="1">{#N/A,#N/A,FALSE,"Chi tiÆt"}</definedName>
    <definedName name="wrn.chi._.tiÆt." localSheetId="4" hidden="1">{#N/A,#N/A,FALSE,"Chi tiÆt"}</definedName>
    <definedName name="wrn.chi._.tiÆt." localSheetId="5" hidden="1">{#N/A,#N/A,FALSE,"Chi tiÆt"}</definedName>
    <definedName name="wrn.chi._.tiÆt." hidden="1">{#N/A,#N/A,FALSE,"Chi tiÆt"}</definedName>
    <definedName name="x" localSheetId="2">#REF!</definedName>
    <definedName name="x" localSheetId="3">#REF!</definedName>
    <definedName name="x" localSheetId="4">#REF!</definedName>
    <definedName name="x" localSheetId="5">#REF!</definedName>
    <definedName name="x">#REF!</definedName>
    <definedName name="X02042003_DATABASE__2__List" localSheetId="2">#REF!</definedName>
    <definedName name="X02042003_DATABASE__2__List" localSheetId="3">#REF!</definedName>
    <definedName name="X02042003_DATABASE__2__List" localSheetId="4">#REF!</definedName>
    <definedName name="X02042003_DATABASE__2__List" localSheetId="5">#REF!</definedName>
    <definedName name="X02042003_DATABASE__2__List">#REF!</definedName>
    <definedName name="x1pind" localSheetId="2">#REF!</definedName>
    <definedName name="x1pind" localSheetId="3">#REF!</definedName>
    <definedName name="x1pind" localSheetId="4">#REF!</definedName>
    <definedName name="x1pind" localSheetId="5">#REF!</definedName>
    <definedName name="x1pind">#REF!</definedName>
    <definedName name="x1pint" localSheetId="2">#REF!</definedName>
    <definedName name="x1pint" localSheetId="3">#REF!</definedName>
    <definedName name="x1pint" localSheetId="4">#REF!</definedName>
    <definedName name="x1pint" localSheetId="5">#REF!</definedName>
    <definedName name="x1pint">#REF!</definedName>
    <definedName name="x1ping" localSheetId="2">#REF!</definedName>
    <definedName name="x1ping" localSheetId="3">#REF!</definedName>
    <definedName name="x1ping" localSheetId="4">#REF!</definedName>
    <definedName name="x1ping" localSheetId="5">#REF!</definedName>
    <definedName name="x1ping">#REF!</definedName>
    <definedName name="XCCT">0.5</definedName>
    <definedName name="xfco" localSheetId="2">#REF!</definedName>
    <definedName name="xfco" localSheetId="3">#REF!</definedName>
    <definedName name="xfco" localSheetId="4">#REF!</definedName>
    <definedName name="xfco" localSheetId="5">#REF!</definedName>
    <definedName name="xfco">#REF!</definedName>
    <definedName name="xfco3p" localSheetId="2">#REF!</definedName>
    <definedName name="xfco3p" localSheetId="3">#REF!</definedName>
    <definedName name="xfco3p" localSheetId="4">#REF!</definedName>
    <definedName name="xfco3p" localSheetId="5">#REF!</definedName>
    <definedName name="xfco3p">#REF!</definedName>
    <definedName name="xfcotnc" localSheetId="2">#REF!</definedName>
    <definedName name="xfcotnc" localSheetId="3">#REF!</definedName>
    <definedName name="xfcotnc" localSheetId="4">#REF!</definedName>
    <definedName name="xfcotnc" localSheetId="5">#REF!</definedName>
    <definedName name="xfcotnc">#REF!</definedName>
    <definedName name="xfcotvl" localSheetId="2">#REF!</definedName>
    <definedName name="xfcotvl" localSheetId="3">#REF!</definedName>
    <definedName name="xfcotvl" localSheetId="4">#REF!</definedName>
    <definedName name="xfcotvl" localSheetId="5">#REF!</definedName>
    <definedName name="xfcotvl">#REF!</definedName>
    <definedName name="xh" localSheetId="2">#REF!</definedName>
    <definedName name="xh" localSheetId="3">#REF!</definedName>
    <definedName name="xh" localSheetId="4">#REF!</definedName>
    <definedName name="xh" localSheetId="5">#REF!</definedName>
    <definedName name="xh">#REF!</definedName>
    <definedName name="xhn" localSheetId="2">#REF!</definedName>
    <definedName name="xhn" localSheetId="3">#REF!</definedName>
    <definedName name="xhn" localSheetId="4">#REF!</definedName>
    <definedName name="xhn" localSheetId="5">#REF!</definedName>
    <definedName name="xhn">#REF!</definedName>
    <definedName name="xig" localSheetId="2">#REF!</definedName>
    <definedName name="xig" localSheetId="3">#REF!</definedName>
    <definedName name="xig" localSheetId="4">#REF!</definedName>
    <definedName name="xig" localSheetId="5">#REF!</definedName>
    <definedName name="xig">#REF!</definedName>
    <definedName name="xig1" localSheetId="2">#REF!</definedName>
    <definedName name="xig1" localSheetId="3">#REF!</definedName>
    <definedName name="xig1" localSheetId="4">#REF!</definedName>
    <definedName name="xig1" localSheetId="5">#REF!</definedName>
    <definedName name="xig1">#REF!</definedName>
    <definedName name="xig1p" localSheetId="2">#REF!</definedName>
    <definedName name="xig1p" localSheetId="3">#REF!</definedName>
    <definedName name="xig1p" localSheetId="4">#REF!</definedName>
    <definedName name="xig1p" localSheetId="5">#REF!</definedName>
    <definedName name="xig1p">#REF!</definedName>
    <definedName name="xig3p" localSheetId="2">#REF!</definedName>
    <definedName name="xig3p" localSheetId="3">#REF!</definedName>
    <definedName name="xig3p" localSheetId="4">#REF!</definedName>
    <definedName name="xig3p" localSheetId="5">#REF!</definedName>
    <definedName name="xig3p">#REF!</definedName>
    <definedName name="xignc3p" localSheetId="2">#REF!</definedName>
    <definedName name="xignc3p" localSheetId="3">#REF!</definedName>
    <definedName name="xignc3p" localSheetId="4">#REF!</definedName>
    <definedName name="xignc3p" localSheetId="5">#REF!</definedName>
    <definedName name="xignc3p">#REF!</definedName>
    <definedName name="xigvl3p" localSheetId="2">#REF!</definedName>
    <definedName name="xigvl3p" localSheetId="3">#REF!</definedName>
    <definedName name="xigvl3p" localSheetId="4">#REF!</definedName>
    <definedName name="xigvl3p" localSheetId="5">#REF!</definedName>
    <definedName name="xigvl3p">#REF!</definedName>
    <definedName name="xin" localSheetId="2">#REF!</definedName>
    <definedName name="xin" localSheetId="3">#REF!</definedName>
    <definedName name="xin" localSheetId="4">#REF!</definedName>
    <definedName name="xin" localSheetId="5">#REF!</definedName>
    <definedName name="xin">#REF!</definedName>
    <definedName name="xin190" localSheetId="2">#REF!</definedName>
    <definedName name="xin190" localSheetId="3">#REF!</definedName>
    <definedName name="xin190" localSheetId="4">#REF!</definedName>
    <definedName name="xin190" localSheetId="5">#REF!</definedName>
    <definedName name="xin190">#REF!</definedName>
    <definedName name="xin1903p" localSheetId="2">#REF!</definedName>
    <definedName name="xin1903p" localSheetId="3">#REF!</definedName>
    <definedName name="xin1903p" localSheetId="4">#REF!</definedName>
    <definedName name="xin1903p" localSheetId="5">#REF!</definedName>
    <definedName name="xin1903p">#REF!</definedName>
    <definedName name="xin2903p" localSheetId="2">#REF!</definedName>
    <definedName name="xin2903p" localSheetId="3">#REF!</definedName>
    <definedName name="xin2903p" localSheetId="4">#REF!</definedName>
    <definedName name="xin2903p" localSheetId="5">#REF!</definedName>
    <definedName name="xin2903p">#REF!</definedName>
    <definedName name="xin290nc3p" localSheetId="2">#REF!</definedName>
    <definedName name="xin290nc3p" localSheetId="3">#REF!</definedName>
    <definedName name="xin290nc3p" localSheetId="4">#REF!</definedName>
    <definedName name="xin290nc3p" localSheetId="5">#REF!</definedName>
    <definedName name="xin290nc3p">#REF!</definedName>
    <definedName name="xin290vl3p" localSheetId="2">#REF!</definedName>
    <definedName name="xin290vl3p" localSheetId="3">#REF!</definedName>
    <definedName name="xin290vl3p" localSheetId="4">#REF!</definedName>
    <definedName name="xin290vl3p" localSheetId="5">#REF!</definedName>
    <definedName name="xin290vl3p">#REF!</definedName>
    <definedName name="xin3p" localSheetId="2">#REF!</definedName>
    <definedName name="xin3p" localSheetId="3">#REF!</definedName>
    <definedName name="xin3p" localSheetId="4">#REF!</definedName>
    <definedName name="xin3p" localSheetId="5">#REF!</definedName>
    <definedName name="xin3p">#REF!</definedName>
    <definedName name="xind" localSheetId="2">#REF!</definedName>
    <definedName name="xind" localSheetId="3">#REF!</definedName>
    <definedName name="xind" localSheetId="4">#REF!</definedName>
    <definedName name="xind" localSheetId="5">#REF!</definedName>
    <definedName name="xind">#REF!</definedName>
    <definedName name="xind1p" localSheetId="2">#REF!</definedName>
    <definedName name="xind1p" localSheetId="3">#REF!</definedName>
    <definedName name="xind1p" localSheetId="4">#REF!</definedName>
    <definedName name="xind1p" localSheetId="5">#REF!</definedName>
    <definedName name="xind1p">#REF!</definedName>
    <definedName name="xind3p" localSheetId="2">#REF!</definedName>
    <definedName name="xind3p" localSheetId="3">#REF!</definedName>
    <definedName name="xind3p" localSheetId="4">#REF!</definedName>
    <definedName name="xind3p" localSheetId="5">#REF!</definedName>
    <definedName name="xind3p">#REF!</definedName>
    <definedName name="xindnc1p" localSheetId="2">#REF!</definedName>
    <definedName name="xindnc1p" localSheetId="3">#REF!</definedName>
    <definedName name="xindnc1p" localSheetId="4">#REF!</definedName>
    <definedName name="xindnc1p" localSheetId="5">#REF!</definedName>
    <definedName name="xindnc1p">#REF!</definedName>
    <definedName name="xindvl1p" localSheetId="2">#REF!</definedName>
    <definedName name="xindvl1p" localSheetId="3">#REF!</definedName>
    <definedName name="xindvl1p" localSheetId="4">#REF!</definedName>
    <definedName name="xindvl1p" localSheetId="5">#REF!</definedName>
    <definedName name="xindvl1p">#REF!</definedName>
    <definedName name="xinnc3p" localSheetId="2">#REF!</definedName>
    <definedName name="xinnc3p" localSheetId="3">#REF!</definedName>
    <definedName name="xinnc3p" localSheetId="4">#REF!</definedName>
    <definedName name="xinnc3p" localSheetId="5">#REF!</definedName>
    <definedName name="xinnc3p">#REF!</definedName>
    <definedName name="xint1p" localSheetId="2">#REF!</definedName>
    <definedName name="xint1p" localSheetId="3">#REF!</definedName>
    <definedName name="xint1p" localSheetId="4">#REF!</definedName>
    <definedName name="xint1p" localSheetId="5">#REF!</definedName>
    <definedName name="xint1p">#REF!</definedName>
    <definedName name="xinvl3p" localSheetId="2">#REF!</definedName>
    <definedName name="xinvl3p" localSheetId="3">#REF!</definedName>
    <definedName name="xinvl3p" localSheetId="4">#REF!</definedName>
    <definedName name="xinvl3p" localSheetId="5">#REF!</definedName>
    <definedName name="xinvl3p">#REF!</definedName>
    <definedName name="xing1p" localSheetId="2">#REF!</definedName>
    <definedName name="xing1p" localSheetId="3">#REF!</definedName>
    <definedName name="xing1p" localSheetId="4">#REF!</definedName>
    <definedName name="xing1p" localSheetId="5">#REF!</definedName>
    <definedName name="xing1p">#REF!</definedName>
    <definedName name="xingnc1p" localSheetId="2">#REF!</definedName>
    <definedName name="xingnc1p" localSheetId="3">#REF!</definedName>
    <definedName name="xingnc1p" localSheetId="4">#REF!</definedName>
    <definedName name="xingnc1p" localSheetId="5">#REF!</definedName>
    <definedName name="xingnc1p">#REF!</definedName>
    <definedName name="xingvl1p" localSheetId="2">#REF!</definedName>
    <definedName name="xingvl1p" localSheetId="3">#REF!</definedName>
    <definedName name="xingvl1p" localSheetId="4">#REF!</definedName>
    <definedName name="xingvl1p" localSheetId="5">#REF!</definedName>
    <definedName name="xingvl1p">#REF!</definedName>
    <definedName name="xit" localSheetId="2">#REF!</definedName>
    <definedName name="xit" localSheetId="3">#REF!</definedName>
    <definedName name="xit" localSheetId="4">#REF!</definedName>
    <definedName name="xit" localSheetId="5">#REF!</definedName>
    <definedName name="xit">#REF!</definedName>
    <definedName name="xit1" localSheetId="2">#REF!</definedName>
    <definedName name="xit1" localSheetId="3">#REF!</definedName>
    <definedName name="xit1" localSheetId="4">#REF!</definedName>
    <definedName name="xit1" localSheetId="5">#REF!</definedName>
    <definedName name="xit1">#REF!</definedName>
    <definedName name="xit1p" localSheetId="2">#REF!</definedName>
    <definedName name="xit1p" localSheetId="3">#REF!</definedName>
    <definedName name="xit1p" localSheetId="4">#REF!</definedName>
    <definedName name="xit1p" localSheetId="5">#REF!</definedName>
    <definedName name="xit1p">#REF!</definedName>
    <definedName name="xit2nc3p" localSheetId="2">#REF!</definedName>
    <definedName name="xit2nc3p" localSheetId="3">#REF!</definedName>
    <definedName name="xit2nc3p" localSheetId="4">#REF!</definedName>
    <definedName name="xit2nc3p" localSheetId="5">#REF!</definedName>
    <definedName name="xit2nc3p">#REF!</definedName>
    <definedName name="xit2vl3p" localSheetId="2">#REF!</definedName>
    <definedName name="xit2vl3p" localSheetId="3">#REF!</definedName>
    <definedName name="xit2vl3p" localSheetId="4">#REF!</definedName>
    <definedName name="xit2vl3p" localSheetId="5">#REF!</definedName>
    <definedName name="xit2vl3p">#REF!</definedName>
    <definedName name="xit3p" localSheetId="2">#REF!</definedName>
    <definedName name="xit3p" localSheetId="3">#REF!</definedName>
    <definedName name="xit3p" localSheetId="4">#REF!</definedName>
    <definedName name="xit3p" localSheetId="5">#REF!</definedName>
    <definedName name="xit3p">#REF!</definedName>
    <definedName name="xitnc3p" localSheetId="2">#REF!</definedName>
    <definedName name="xitnc3p" localSheetId="3">#REF!</definedName>
    <definedName name="xitnc3p" localSheetId="4">#REF!</definedName>
    <definedName name="xitnc3p" localSheetId="5">#REF!</definedName>
    <definedName name="xitnc3p">#REF!</definedName>
    <definedName name="xitvl3p" localSheetId="2">#REF!</definedName>
    <definedName name="xitvl3p" localSheetId="3">#REF!</definedName>
    <definedName name="xitvl3p" localSheetId="4">#REF!</definedName>
    <definedName name="xitvl3p" localSheetId="5">#REF!</definedName>
    <definedName name="xitvl3p">#REF!</definedName>
    <definedName name="xn" localSheetId="2">#REF!</definedName>
    <definedName name="xn" localSheetId="3">#REF!</definedName>
    <definedName name="xn" localSheetId="4">#REF!</definedName>
    <definedName name="xn" localSheetId="5">#REF!</definedName>
    <definedName name="xn">#REF!</definedName>
    <definedName name="y" localSheetId="2" hidden="1">{#N/A,#N/A,FALSE,"Chi tiÆt"}</definedName>
    <definedName name="y" localSheetId="3" hidden="1">{#N/A,#N/A,FALSE,"Chi tiÆt"}</definedName>
    <definedName name="y" localSheetId="4" hidden="1">{#N/A,#N/A,FALSE,"Chi tiÆt"}</definedName>
    <definedName name="y" localSheetId="5" hidden="1">{#N/A,#N/A,FALSE,"Chi tiÆt"}</definedName>
    <definedName name="y" hidden="1">{#N/A,#N/A,FALSE,"Chi tiÆt"}</definedName>
    <definedName name="ZYX" localSheetId="2">#REF!</definedName>
    <definedName name="ZYX" localSheetId="3">#REF!</definedName>
    <definedName name="ZYX" localSheetId="4">#REF!</definedName>
    <definedName name="ZYX" localSheetId="5">#REF!</definedName>
    <definedName name="ZYX">#REF!</definedName>
    <definedName name="ZZZ" localSheetId="2">#REF!</definedName>
    <definedName name="ZZZ" localSheetId="3">#REF!</definedName>
    <definedName name="ZZZ" localSheetId="4">#REF!</definedName>
    <definedName name="ZZZ" localSheetId="5">#REF!</definedName>
    <definedName name="ZZ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R9" i="5" l="1"/>
  <c r="L9" i="5"/>
  <c r="Q81" i="5"/>
  <c r="P81" i="5"/>
  <c r="Y19" i="27" l="1"/>
  <c r="Y18" i="27"/>
  <c r="W1008" i="20"/>
  <c r="C81" i="5" s="1"/>
  <c r="Z1008" i="20"/>
  <c r="Z587" i="20" l="1"/>
  <c r="Y587" i="20"/>
  <c r="Z586" i="20"/>
  <c r="X1005" i="20"/>
  <c r="Y52" i="27"/>
  <c r="Y51" i="27"/>
  <c r="Y50" i="27"/>
  <c r="AB49" i="27"/>
  <c r="AA49" i="27"/>
  <c r="Z49" i="27"/>
  <c r="X49" i="27"/>
  <c r="W49" i="27"/>
  <c r="V49" i="27"/>
  <c r="U49" i="27"/>
  <c r="T49" i="27"/>
  <c r="S49" i="27"/>
  <c r="R49" i="27"/>
  <c r="Q49" i="27"/>
  <c r="P49" i="27"/>
  <c r="O49" i="27"/>
  <c r="N49" i="27"/>
  <c r="M49" i="27"/>
  <c r="L49" i="27"/>
  <c r="K49" i="27"/>
  <c r="X48" i="27"/>
  <c r="Y47" i="27"/>
  <c r="Y46" i="27"/>
  <c r="Y45" i="27"/>
  <c r="Y44" i="27"/>
  <c r="Y42" i="27"/>
  <c r="Y41" i="27"/>
  <c r="X41" i="27"/>
  <c r="N41" i="27"/>
  <c r="N39" i="27" s="1"/>
  <c r="Y40" i="27"/>
  <c r="AB39" i="27"/>
  <c r="W39" i="27"/>
  <c r="V39" i="27"/>
  <c r="U39" i="27"/>
  <c r="T39" i="27"/>
  <c r="S39" i="27"/>
  <c r="R39" i="27"/>
  <c r="Q39" i="27"/>
  <c r="P39" i="27"/>
  <c r="O39" i="27"/>
  <c r="M39" i="27"/>
  <c r="L39" i="27"/>
  <c r="K39" i="27"/>
  <c r="Y37" i="27"/>
  <c r="X37" i="27"/>
  <c r="P37" i="27"/>
  <c r="Y36" i="27"/>
  <c r="X36" i="27"/>
  <c r="Y35" i="27"/>
  <c r="Y34" i="27"/>
  <c r="AB33" i="27"/>
  <c r="AB29" i="27" s="1"/>
  <c r="Y33" i="27"/>
  <c r="Y32" i="27"/>
  <c r="T32" i="27"/>
  <c r="P32" i="27"/>
  <c r="Y31" i="27"/>
  <c r="T31" i="27"/>
  <c r="X31" i="27" s="1"/>
  <c r="P31" i="27"/>
  <c r="P29" i="27" s="1"/>
  <c r="P28" i="27" s="1"/>
  <c r="Y30" i="27"/>
  <c r="T30" i="27"/>
  <c r="T29" i="27" s="1"/>
  <c r="T28" i="27" s="1"/>
  <c r="P30" i="27"/>
  <c r="AA29" i="27"/>
  <c r="AA28" i="27" s="1"/>
  <c r="Z29" i="27"/>
  <c r="Z28" i="27" s="1"/>
  <c r="W29" i="27"/>
  <c r="V29" i="27"/>
  <c r="U29" i="27"/>
  <c r="U28" i="27" s="1"/>
  <c r="S29" i="27"/>
  <c r="R29" i="27"/>
  <c r="R28" i="27" s="1"/>
  <c r="Q29" i="27"/>
  <c r="Q28" i="27" s="1"/>
  <c r="O29" i="27"/>
  <c r="N29" i="27"/>
  <c r="M29" i="27"/>
  <c r="L29" i="27"/>
  <c r="K29" i="27"/>
  <c r="AB27" i="27"/>
  <c r="AB26" i="27" s="1"/>
  <c r="N27" i="27"/>
  <c r="N26" i="27" s="1"/>
  <c r="K27" i="27"/>
  <c r="K26" i="27" s="1"/>
  <c r="W26" i="27"/>
  <c r="V26" i="27"/>
  <c r="U26" i="27"/>
  <c r="T26" i="27"/>
  <c r="S26" i="27"/>
  <c r="R26" i="27"/>
  <c r="Q26" i="27"/>
  <c r="P26" i="27"/>
  <c r="O26" i="27"/>
  <c r="M26" i="27"/>
  <c r="L26" i="27"/>
  <c r="Y25" i="27"/>
  <c r="W25" i="27"/>
  <c r="W23" i="27" s="1"/>
  <c r="T25" i="27"/>
  <c r="X25" i="27" s="1"/>
  <c r="S25" i="27"/>
  <c r="P25" i="27"/>
  <c r="P23" i="27" s="1"/>
  <c r="Y24" i="27"/>
  <c r="X24" i="27"/>
  <c r="AB23" i="27"/>
  <c r="AA23" i="27"/>
  <c r="Z23" i="27"/>
  <c r="V23" i="27"/>
  <c r="U23" i="27"/>
  <c r="S23" i="27"/>
  <c r="R23" i="27"/>
  <c r="Q23" i="27"/>
  <c r="O23" i="27"/>
  <c r="N23" i="27"/>
  <c r="M23" i="27"/>
  <c r="L23" i="27"/>
  <c r="K23" i="27"/>
  <c r="Y22" i="27"/>
  <c r="Y21" i="27" s="1"/>
  <c r="I77" i="5" s="1"/>
  <c r="X22" i="27"/>
  <c r="X21" i="27" s="1"/>
  <c r="K22" i="27"/>
  <c r="K21" i="27" s="1"/>
  <c r="AB21" i="27"/>
  <c r="AA21" i="27"/>
  <c r="Z21" i="27"/>
  <c r="W21" i="27"/>
  <c r="V21" i="27"/>
  <c r="U21" i="27"/>
  <c r="T21" i="27"/>
  <c r="S21" i="27"/>
  <c r="R21" i="27"/>
  <c r="Q21" i="27"/>
  <c r="P21" i="27"/>
  <c r="O21" i="27"/>
  <c r="N21" i="27"/>
  <c r="M21" i="27"/>
  <c r="L21" i="27"/>
  <c r="Y20" i="27"/>
  <c r="Y17" i="27"/>
  <c r="X17" i="27"/>
  <c r="K17" i="27"/>
  <c r="Y16" i="27"/>
  <c r="X16" i="27"/>
  <c r="K16" i="27"/>
  <c r="K14" i="27" s="1"/>
  <c r="Y15" i="27"/>
  <c r="X15" i="27"/>
  <c r="K15" i="27"/>
  <c r="AB14" i="27"/>
  <c r="AA14" i="27"/>
  <c r="Z14" i="27"/>
  <c r="W14" i="27"/>
  <c r="V14" i="27"/>
  <c r="U14" i="27"/>
  <c r="T14" i="27"/>
  <c r="S14" i="27"/>
  <c r="R14" i="27"/>
  <c r="Q14" i="27"/>
  <c r="P14" i="27"/>
  <c r="O14" i="27"/>
  <c r="N14" i="27"/>
  <c r="M14" i="27"/>
  <c r="L14" i="27"/>
  <c r="Y13" i="27"/>
  <c r="K13" i="27"/>
  <c r="Y12" i="27"/>
  <c r="K12" i="27"/>
  <c r="Y11" i="27"/>
  <c r="K11" i="27"/>
  <c r="AB10" i="27"/>
  <c r="AA10" i="27"/>
  <c r="Z10" i="27"/>
  <c r="X10" i="27"/>
  <c r="W10" i="27"/>
  <c r="V10" i="27"/>
  <c r="U10" i="27"/>
  <c r="T10" i="27"/>
  <c r="S10" i="27"/>
  <c r="R10" i="27"/>
  <c r="Q10" i="27"/>
  <c r="P10" i="27"/>
  <c r="O10" i="27"/>
  <c r="N10" i="27"/>
  <c r="M10" i="27"/>
  <c r="L10" i="27"/>
  <c r="AB28" i="27" l="1"/>
  <c r="S28" i="27"/>
  <c r="K28" i="27"/>
  <c r="Y14" i="27"/>
  <c r="D77" i="5" s="1"/>
  <c r="V28" i="27"/>
  <c r="W28" i="27"/>
  <c r="O28" i="27"/>
  <c r="Y10" i="27"/>
  <c r="Y27" i="27"/>
  <c r="Y26" i="27" s="1"/>
  <c r="F77" i="5" s="1"/>
  <c r="X39" i="27"/>
  <c r="Q9" i="27"/>
  <c r="R9" i="27"/>
  <c r="O9" i="27"/>
  <c r="Y39" i="27"/>
  <c r="O77" i="5" s="1"/>
  <c r="Y29" i="27"/>
  <c r="N77" i="5" s="1"/>
  <c r="M77" i="5" s="1"/>
  <c r="U9" i="27"/>
  <c r="Z9" i="27"/>
  <c r="X27" i="27"/>
  <c r="X26" i="27" s="1"/>
  <c r="K10" i="27"/>
  <c r="K9" i="27" s="1"/>
  <c r="S9" i="27"/>
  <c r="Y23" i="27"/>
  <c r="G77" i="5" s="1"/>
  <c r="L28" i="27"/>
  <c r="L9" i="27" s="1"/>
  <c r="AA9" i="27"/>
  <c r="T23" i="27"/>
  <c r="T9" i="27" s="1"/>
  <c r="M28" i="27"/>
  <c r="M9" i="27" s="1"/>
  <c r="Y49" i="27"/>
  <c r="X23" i="27"/>
  <c r="X14" i="27"/>
  <c r="V9" i="27"/>
  <c r="W9" i="27"/>
  <c r="AB9" i="27"/>
  <c r="N28" i="27"/>
  <c r="N9" i="27" s="1"/>
  <c r="P9" i="27"/>
  <c r="X30" i="27"/>
  <c r="X29" i="27" s="1"/>
  <c r="X28" i="27" s="1"/>
  <c r="D81" i="5"/>
  <c r="W53" i="19"/>
  <c r="W38" i="19"/>
  <c r="H80" i="5"/>
  <c r="H77" i="5" l="1"/>
  <c r="AG9" i="20"/>
  <c r="Y28" i="27"/>
  <c r="Y9" i="27" s="1"/>
  <c r="X9" i="27"/>
  <c r="J618" i="20"/>
  <c r="K616" i="20"/>
  <c r="L616" i="20"/>
  <c r="M616" i="20"/>
  <c r="O616" i="20"/>
  <c r="P616" i="20"/>
  <c r="Q616" i="20"/>
  <c r="S616" i="20"/>
  <c r="T616" i="20"/>
  <c r="U616" i="20"/>
  <c r="V616" i="20"/>
  <c r="X616" i="20"/>
  <c r="Y616" i="20"/>
  <c r="Z616" i="20"/>
  <c r="AA616" i="20"/>
  <c r="X586" i="20"/>
  <c r="K623" i="20"/>
  <c r="L623" i="20"/>
  <c r="M623" i="20"/>
  <c r="O623" i="20"/>
  <c r="Q623" i="20"/>
  <c r="R623" i="20"/>
  <c r="S623" i="20"/>
  <c r="T623" i="20"/>
  <c r="U623" i="20"/>
  <c r="V623" i="20"/>
  <c r="X623" i="20"/>
  <c r="Y623" i="20"/>
  <c r="Z623" i="20"/>
  <c r="AA623" i="20"/>
  <c r="J623" i="20"/>
  <c r="AF9" i="20" l="1"/>
  <c r="S80" i="5"/>
  <c r="AG580" i="20" l="1"/>
  <c r="AF586" i="20"/>
  <c r="AK3" i="20" l="1"/>
  <c r="X752" i="20"/>
  <c r="J789" i="20"/>
  <c r="K108" i="20"/>
  <c r="L108" i="20"/>
  <c r="N108" i="20"/>
  <c r="O108" i="20"/>
  <c r="P108" i="20"/>
  <c r="R108" i="20"/>
  <c r="S108" i="20"/>
  <c r="T108" i="20"/>
  <c r="Y108" i="20"/>
  <c r="Z108" i="20"/>
  <c r="AA108" i="20"/>
  <c r="J108" i="20"/>
  <c r="J103" i="20"/>
  <c r="J748" i="20"/>
  <c r="K578" i="20"/>
  <c r="K576" i="20" s="1"/>
  <c r="L578" i="20"/>
  <c r="L576" i="20" s="1"/>
  <c r="N578" i="20"/>
  <c r="N576" i="20" s="1"/>
  <c r="O578" i="20"/>
  <c r="O576" i="20" s="1"/>
  <c r="P578" i="20"/>
  <c r="P576" i="20" s="1"/>
  <c r="R578" i="20"/>
  <c r="R576" i="20" s="1"/>
  <c r="S578" i="20"/>
  <c r="S576" i="20" s="1"/>
  <c r="T578" i="20"/>
  <c r="T576" i="20" s="1"/>
  <c r="Y578" i="20"/>
  <c r="Y576" i="20" s="1"/>
  <c r="Z578" i="20"/>
  <c r="Z576" i="20" s="1"/>
  <c r="AA578" i="20"/>
  <c r="AA576" i="20" s="1"/>
  <c r="J578" i="20"/>
  <c r="J576" i="20" s="1"/>
  <c r="U579" i="20"/>
  <c r="U578" i="20" s="1"/>
  <c r="U576" i="20" s="1"/>
  <c r="Q579" i="20"/>
  <c r="V579" i="20" s="1"/>
  <c r="W579" i="20" s="1"/>
  <c r="X579" i="20" s="1"/>
  <c r="X578" i="20" s="1"/>
  <c r="X576" i="20" s="1"/>
  <c r="M579" i="20"/>
  <c r="M578" i="20" s="1"/>
  <c r="M576" i="20" s="1"/>
  <c r="K937" i="20"/>
  <c r="K935" i="20" s="1"/>
  <c r="L937" i="20"/>
  <c r="L935" i="20" s="1"/>
  <c r="O937" i="20"/>
  <c r="O935" i="20" s="1"/>
  <c r="P937" i="20"/>
  <c r="P935" i="20" s="1"/>
  <c r="R937" i="20"/>
  <c r="R935" i="20" s="1"/>
  <c r="S937" i="20"/>
  <c r="S935" i="20" s="1"/>
  <c r="T937" i="20"/>
  <c r="T935" i="20" s="1"/>
  <c r="Y937" i="20"/>
  <c r="Y935" i="20" s="1"/>
  <c r="Z937" i="20"/>
  <c r="AA937" i="20"/>
  <c r="AA935" i="20" s="1"/>
  <c r="J937" i="20"/>
  <c r="J935" i="20" s="1"/>
  <c r="U938" i="20"/>
  <c r="U937" i="20" s="1"/>
  <c r="U935" i="20" s="1"/>
  <c r="M938" i="20"/>
  <c r="N938" i="20" s="1"/>
  <c r="Q938" i="20" s="1"/>
  <c r="V938" i="20" s="1"/>
  <c r="W938" i="20" s="1"/>
  <c r="X938" i="20" s="1"/>
  <c r="X937" i="20" s="1"/>
  <c r="X935" i="20" s="1"/>
  <c r="AC936" i="20"/>
  <c r="K278" i="20"/>
  <c r="K277" i="20" s="1"/>
  <c r="L278" i="20"/>
  <c r="L277" i="20" s="1"/>
  <c r="M278" i="20"/>
  <c r="M277" i="20" s="1"/>
  <c r="N278" i="20"/>
  <c r="N277" i="20" s="1"/>
  <c r="O278" i="20"/>
  <c r="O277" i="20" s="1"/>
  <c r="P278" i="20"/>
  <c r="P277" i="20" s="1"/>
  <c r="S278" i="20"/>
  <c r="S277" i="20" s="1"/>
  <c r="T278" i="20"/>
  <c r="T277" i="20" s="1"/>
  <c r="U278" i="20"/>
  <c r="U277" i="20" s="1"/>
  <c r="Y278" i="20"/>
  <c r="Y277" i="20" s="1"/>
  <c r="Z278" i="20"/>
  <c r="Z277" i="20" s="1"/>
  <c r="AA278" i="20"/>
  <c r="AA277" i="20" s="1"/>
  <c r="J278" i="20"/>
  <c r="J277" i="20" s="1"/>
  <c r="R279" i="20"/>
  <c r="R278" i="20" s="1"/>
  <c r="R277" i="20" s="1"/>
  <c r="Q279" i="20"/>
  <c r="V279" i="20" l="1"/>
  <c r="V278" i="20" s="1"/>
  <c r="V277" i="20" s="1"/>
  <c r="J102" i="20"/>
  <c r="J101" i="20" s="1"/>
  <c r="Q578" i="20"/>
  <c r="Q576" i="20" s="1"/>
  <c r="W578" i="20"/>
  <c r="W576" i="20" s="1"/>
  <c r="O49" i="5" s="1"/>
  <c r="V578" i="20"/>
  <c r="V576" i="20" s="1"/>
  <c r="N937" i="20"/>
  <c r="N935" i="20" s="1"/>
  <c r="M937" i="20"/>
  <c r="M935" i="20" s="1"/>
  <c r="V937" i="20"/>
  <c r="V935" i="20" s="1"/>
  <c r="W937" i="20"/>
  <c r="W935" i="20" s="1"/>
  <c r="Z935" i="20"/>
  <c r="Q937" i="20"/>
  <c r="Q935" i="20" s="1"/>
  <c r="Q278" i="20"/>
  <c r="Q277" i="20" s="1"/>
  <c r="W279" i="20"/>
  <c r="W278" i="20" s="1"/>
  <c r="W277" i="20" s="1"/>
  <c r="I49" i="5" s="1"/>
  <c r="X279" i="20" l="1"/>
  <c r="X278" i="20" s="1"/>
  <c r="X277" i="20" s="1"/>
  <c r="AC937" i="20"/>
  <c r="U113" i="20" l="1"/>
  <c r="Q113" i="20"/>
  <c r="M113" i="20"/>
  <c r="V113" i="20" s="1"/>
  <c r="X113" i="20" s="1"/>
  <c r="W113" i="20" s="1"/>
  <c r="U112" i="20"/>
  <c r="Q112" i="20"/>
  <c r="M112" i="20"/>
  <c r="V112" i="20" s="1"/>
  <c r="X112" i="20" s="1"/>
  <c r="W112" i="20" s="1"/>
  <c r="U111" i="20"/>
  <c r="Q111" i="20"/>
  <c r="M111" i="20"/>
  <c r="V111" i="20" s="1"/>
  <c r="X111" i="20" s="1"/>
  <c r="W111" i="20" s="1"/>
  <c r="U110" i="20"/>
  <c r="Q110" i="20"/>
  <c r="M110" i="20"/>
  <c r="V110" i="20" s="1"/>
  <c r="X110" i="20" s="1"/>
  <c r="W110" i="20" s="1"/>
  <c r="U109" i="20"/>
  <c r="Q109" i="20"/>
  <c r="M109" i="20"/>
  <c r="K103" i="20"/>
  <c r="L103" i="20"/>
  <c r="O103" i="20"/>
  <c r="P103" i="20"/>
  <c r="Q103" i="20"/>
  <c r="S103" i="20"/>
  <c r="T103" i="20"/>
  <c r="U103" i="20"/>
  <c r="V103" i="20"/>
  <c r="W107" i="20"/>
  <c r="X107" i="20" s="1"/>
  <c r="X103" i="20" s="1"/>
  <c r="R107" i="20"/>
  <c r="R103" i="20" s="1"/>
  <c r="N107" i="20"/>
  <c r="N103" i="20" s="1"/>
  <c r="M107" i="20"/>
  <c r="M103" i="20" s="1"/>
  <c r="V109" i="20" l="1"/>
  <c r="M108" i="20"/>
  <c r="Q108" i="20"/>
  <c r="U108" i="20"/>
  <c r="X109" i="20" l="1"/>
  <c r="V108" i="20"/>
  <c r="W109" i="20" l="1"/>
  <c r="W108" i="20" s="1"/>
  <c r="X108" i="20"/>
  <c r="L328" i="20" l="1"/>
  <c r="Y600" i="20" l="1"/>
  <c r="W600" i="20" s="1"/>
  <c r="W601" i="20"/>
  <c r="W599" i="20"/>
  <c r="Z996" i="20" l="1"/>
  <c r="X1003" i="20" l="1"/>
  <c r="Y1003" i="20"/>
  <c r="Z1003" i="20"/>
  <c r="AA1003" i="20"/>
  <c r="V1003" i="20"/>
  <c r="W871" i="20"/>
  <c r="X679" i="20" l="1"/>
  <c r="V88" i="20"/>
  <c r="AC25" i="20"/>
  <c r="AC42" i="20"/>
  <c r="AC49" i="20"/>
  <c r="AC50" i="20"/>
  <c r="AC53" i="20"/>
  <c r="AC57" i="20"/>
  <c r="AC60" i="20"/>
  <c r="AC63" i="20"/>
  <c r="AC75" i="20"/>
  <c r="AC78" i="20"/>
  <c r="AC83" i="20"/>
  <c r="AC93" i="20"/>
  <c r="AC96" i="20"/>
  <c r="AC100" i="20"/>
  <c r="AC108" i="20"/>
  <c r="AC114" i="20"/>
  <c r="AC117" i="20"/>
  <c r="AC122" i="20"/>
  <c r="AC125" i="20"/>
  <c r="AC129" i="20"/>
  <c r="AC132" i="20"/>
  <c r="AC137" i="20"/>
  <c r="AC145" i="20"/>
  <c r="AC148" i="20"/>
  <c r="AC151" i="20"/>
  <c r="AC155" i="20"/>
  <c r="AC158" i="20"/>
  <c r="AC162" i="20"/>
  <c r="AC165" i="20"/>
  <c r="AC172" i="20"/>
  <c r="AC173" i="20"/>
  <c r="AC178" i="20"/>
  <c r="AC179" i="20"/>
  <c r="AC182" i="20"/>
  <c r="AC185" i="20"/>
  <c r="AC197" i="20"/>
  <c r="AC208" i="20"/>
  <c r="AC212" i="20"/>
  <c r="AC215" i="20"/>
  <c r="AC218" i="20"/>
  <c r="AC221" i="20"/>
  <c r="AC224" i="20"/>
  <c r="AC227" i="20"/>
  <c r="AC243" i="20"/>
  <c r="AC246" i="20"/>
  <c r="AC249" i="20"/>
  <c r="AC252" i="20"/>
  <c r="AC255" i="20"/>
  <c r="AC258" i="20"/>
  <c r="AC261" i="20"/>
  <c r="AC264" i="20"/>
  <c r="AC267" i="20"/>
  <c r="AC271" i="20"/>
  <c r="AC274" i="20"/>
  <c r="AC276" i="20"/>
  <c r="AC283" i="20"/>
  <c r="AC286" i="20"/>
  <c r="AC290" i="20"/>
  <c r="AC293" i="20"/>
  <c r="AC296" i="20"/>
  <c r="AC297" i="20"/>
  <c r="AC302" i="20"/>
  <c r="AC309" i="20"/>
  <c r="AC313" i="20"/>
  <c r="AC316" i="20"/>
  <c r="AC322" i="20"/>
  <c r="AC325" i="20"/>
  <c r="AC329" i="20"/>
  <c r="AC339" i="20"/>
  <c r="AC342" i="20"/>
  <c r="AC346" i="20"/>
  <c r="AC349" i="20"/>
  <c r="AC352" i="20"/>
  <c r="AC355" i="20"/>
  <c r="AC358" i="20"/>
  <c r="AC361" i="20"/>
  <c r="AC364" i="20"/>
  <c r="AC367" i="20"/>
  <c r="AC370" i="20"/>
  <c r="AC373" i="20"/>
  <c r="AC376" i="20"/>
  <c r="AC379" i="20"/>
  <c r="AC382" i="20"/>
  <c r="AC385" i="20"/>
  <c r="AC391" i="20"/>
  <c r="AC394" i="20"/>
  <c r="AC399" i="20"/>
  <c r="AC402" i="20"/>
  <c r="AC408" i="20"/>
  <c r="AC411" i="20"/>
  <c r="AC415" i="20"/>
  <c r="AC418" i="20"/>
  <c r="AC429" i="20"/>
  <c r="AC432" i="20"/>
  <c r="AC436" i="20"/>
  <c r="AC439" i="20"/>
  <c r="AC445" i="20"/>
  <c r="AC448" i="20"/>
  <c r="AC456" i="20"/>
  <c r="AC459" i="20"/>
  <c r="AC465" i="20"/>
  <c r="AC468" i="20"/>
  <c r="AC474" i="20"/>
  <c r="AC477" i="20"/>
  <c r="AC481" i="20"/>
  <c r="AC484" i="20"/>
  <c r="AC488" i="20"/>
  <c r="AC491" i="20"/>
  <c r="AC494" i="20"/>
  <c r="AC497" i="20"/>
  <c r="AC501" i="20"/>
  <c r="AC523" i="20"/>
  <c r="AC526" i="20"/>
  <c r="AC530" i="20"/>
  <c r="AC533" i="20"/>
  <c r="AC536" i="20"/>
  <c r="AC539" i="20"/>
  <c r="AC543" i="20"/>
  <c r="AC546" i="20"/>
  <c r="AC553" i="20"/>
  <c r="AC556" i="20"/>
  <c r="AC559" i="20"/>
  <c r="AC562" i="20"/>
  <c r="AC565" i="20"/>
  <c r="AC574" i="20"/>
  <c r="AC575" i="20"/>
  <c r="AC584" i="20"/>
  <c r="AC590" i="20"/>
  <c r="AC602" i="20"/>
  <c r="AC605" i="20"/>
  <c r="AC613" i="20"/>
  <c r="AC620" i="20"/>
  <c r="AC638" i="20"/>
  <c r="AC653" i="20"/>
  <c r="AC656" i="20"/>
  <c r="AC659" i="20"/>
  <c r="AC662" i="20"/>
  <c r="AC666" i="20"/>
  <c r="AC669" i="20"/>
  <c r="AC673" i="20"/>
  <c r="AC684" i="20"/>
  <c r="AC687" i="20"/>
  <c r="AC697" i="20"/>
  <c r="AC700" i="20"/>
  <c r="AC706" i="20"/>
  <c r="AC715" i="20"/>
  <c r="AC718" i="20"/>
  <c r="AC721" i="20"/>
  <c r="AC724" i="20"/>
  <c r="AC728" i="20"/>
  <c r="AC731" i="20"/>
  <c r="AC735" i="20"/>
  <c r="AC744" i="20"/>
  <c r="AC747" i="20"/>
  <c r="AC753" i="20"/>
  <c r="AC756" i="20"/>
  <c r="AC764" i="20"/>
  <c r="AC767" i="20"/>
  <c r="AC772" i="20"/>
  <c r="AC785" i="20"/>
  <c r="AC788" i="20"/>
  <c r="AC799" i="20"/>
  <c r="AC805" i="20"/>
  <c r="AC808" i="20"/>
  <c r="AC812" i="20"/>
  <c r="AC815" i="20"/>
  <c r="AC818" i="20"/>
  <c r="AC821" i="20"/>
  <c r="AC828" i="20"/>
  <c r="AC831" i="20"/>
  <c r="AC842" i="20"/>
  <c r="AC855" i="20"/>
  <c r="AC858" i="20"/>
  <c r="AC864" i="20"/>
  <c r="AC870" i="20"/>
  <c r="AC872" i="20"/>
  <c r="AC876" i="20"/>
  <c r="AC883" i="20"/>
  <c r="AC889" i="20"/>
  <c r="AC895" i="20"/>
  <c r="AC899" i="20"/>
  <c r="AC917" i="20"/>
  <c r="AC922" i="20"/>
  <c r="AC927" i="20"/>
  <c r="AC932" i="20"/>
  <c r="AC940" i="20"/>
  <c r="AC942" i="20"/>
  <c r="AC944" i="20"/>
  <c r="AC960" i="20"/>
  <c r="AC965" i="20"/>
  <c r="AC974" i="20"/>
  <c r="AC979" i="20"/>
  <c r="AC985" i="20"/>
  <c r="AC1000" i="20"/>
  <c r="J904" i="20"/>
  <c r="U906" i="20"/>
  <c r="K904" i="20" l="1"/>
  <c r="L904" i="20"/>
  <c r="N904" i="20"/>
  <c r="O904" i="20"/>
  <c r="P904" i="20"/>
  <c r="Q904" i="20"/>
  <c r="R904" i="20"/>
  <c r="S904" i="20"/>
  <c r="T904" i="20"/>
  <c r="X904" i="20"/>
  <c r="Z904" i="20"/>
  <c r="AA904" i="20"/>
  <c r="W906" i="20"/>
  <c r="M906" i="20"/>
  <c r="U905" i="20"/>
  <c r="U904" i="20" s="1"/>
  <c r="M905" i="20"/>
  <c r="V905" i="20" s="1"/>
  <c r="W905" i="20" s="1"/>
  <c r="W904" i="20" l="1"/>
  <c r="M904" i="20"/>
  <c r="V904" i="20"/>
  <c r="Y906" i="20"/>
  <c r="AC906" i="20" s="1"/>
  <c r="Y905" i="20"/>
  <c r="AC905" i="20" s="1"/>
  <c r="W586" i="20"/>
  <c r="AF580" i="20" l="1"/>
  <c r="Y904" i="20"/>
  <c r="AC904" i="20" s="1"/>
  <c r="Z878" i="20"/>
  <c r="Y854" i="20"/>
  <c r="Z12" i="20"/>
  <c r="K15" i="6"/>
  <c r="W996" i="20"/>
  <c r="AC996" i="20" l="1"/>
  <c r="Q73" i="5"/>
  <c r="C77" i="5"/>
  <c r="J16" i="20"/>
  <c r="J18" i="20"/>
  <c r="J28" i="20"/>
  <c r="J37" i="20"/>
  <c r="J45" i="20"/>
  <c r="J44" i="20" s="1"/>
  <c r="J43" i="20" s="1"/>
  <c r="J55" i="20"/>
  <c r="J56" i="20"/>
  <c r="J61" i="20"/>
  <c r="J59" i="20" s="1"/>
  <c r="J58" i="20" s="1"/>
  <c r="J66" i="20"/>
  <c r="J71" i="20"/>
  <c r="J79" i="20"/>
  <c r="J77" i="20" s="1"/>
  <c r="J76" i="20" s="1"/>
  <c r="J86" i="20"/>
  <c r="J88" i="20"/>
  <c r="J97" i="20"/>
  <c r="J95" i="20" s="1"/>
  <c r="J94" i="20" s="1"/>
  <c r="J118" i="20"/>
  <c r="J116" i="20" s="1"/>
  <c r="J115" i="20" s="1"/>
  <c r="J126" i="20"/>
  <c r="J124" i="20" s="1"/>
  <c r="J123" i="20" s="1"/>
  <c r="J133" i="20"/>
  <c r="J131" i="20" s="1"/>
  <c r="J130" i="20" s="1"/>
  <c r="J140" i="20"/>
  <c r="J143" i="20"/>
  <c r="J149" i="20"/>
  <c r="J147" i="20" s="1"/>
  <c r="J146" i="20" s="1"/>
  <c r="J163" i="20"/>
  <c r="J161" i="20" s="1"/>
  <c r="J160" i="20" s="1"/>
  <c r="J159" i="20" s="1"/>
  <c r="J169" i="20"/>
  <c r="J168" i="20" s="1"/>
  <c r="J167" i="20" s="1"/>
  <c r="J176" i="20"/>
  <c r="J175" i="20" s="1"/>
  <c r="J174" i="20" s="1"/>
  <c r="J183" i="20"/>
  <c r="J181" i="20" s="1"/>
  <c r="J180" i="20" s="1"/>
  <c r="J190" i="20"/>
  <c r="J191" i="20"/>
  <c r="J192" i="20"/>
  <c r="J194" i="20"/>
  <c r="J195" i="20"/>
  <c r="J196" i="20"/>
  <c r="J201" i="20"/>
  <c r="J200" i="20" s="1"/>
  <c r="J199" i="20" s="1"/>
  <c r="J198" i="20" s="1"/>
  <c r="J204" i="20"/>
  <c r="J203" i="20" s="1"/>
  <c r="J202" i="20" s="1"/>
  <c r="J213" i="20"/>
  <c r="J211" i="20" s="1"/>
  <c r="J210" i="20" s="1"/>
  <c r="J220" i="20"/>
  <c r="J219" i="20" s="1"/>
  <c r="J217" i="20" s="1"/>
  <c r="J216" i="20" s="1"/>
  <c r="J225" i="20"/>
  <c r="J223" i="20" s="1"/>
  <c r="J222" i="20" s="1"/>
  <c r="J231" i="20"/>
  <c r="J232" i="20"/>
  <c r="J233" i="20"/>
  <c r="J234" i="20"/>
  <c r="J235" i="20"/>
  <c r="J236" i="20"/>
  <c r="J237" i="20"/>
  <c r="J238" i="20"/>
  <c r="J239" i="20"/>
  <c r="J241" i="20"/>
  <c r="J242" i="20"/>
  <c r="J247" i="20"/>
  <c r="J245" i="20" s="1"/>
  <c r="J244" i="20" s="1"/>
  <c r="J253" i="20"/>
  <c r="J251" i="20" s="1"/>
  <c r="J250" i="20" s="1"/>
  <c r="J259" i="20"/>
  <c r="J257" i="20" s="1"/>
  <c r="J256" i="20" s="1"/>
  <c r="J265" i="20"/>
  <c r="J263" i="20" s="1"/>
  <c r="J262" i="20" s="1"/>
  <c r="J270" i="20"/>
  <c r="J269" i="20" s="1"/>
  <c r="J268" i="20" s="1"/>
  <c r="J275" i="20"/>
  <c r="J273" i="20" s="1"/>
  <c r="J272" i="20" s="1"/>
  <c r="J284" i="20"/>
  <c r="J282" i="20" s="1"/>
  <c r="J281" i="20" s="1"/>
  <c r="J280" i="20" s="1"/>
  <c r="J292" i="20"/>
  <c r="J291" i="20" s="1"/>
  <c r="J289" i="20" s="1"/>
  <c r="J288" i="20" s="1"/>
  <c r="J298" i="20"/>
  <c r="J295" i="20" s="1"/>
  <c r="J294" i="20" s="1"/>
  <c r="J303" i="20"/>
  <c r="J301" i="20" s="1"/>
  <c r="J300" i="20" s="1"/>
  <c r="J311" i="20"/>
  <c r="J310" i="20" s="1"/>
  <c r="J308" i="20" s="1"/>
  <c r="J307" i="20" s="1"/>
  <c r="J321" i="20"/>
  <c r="J326" i="20"/>
  <c r="J324" i="20" s="1"/>
  <c r="J323" i="20" s="1"/>
  <c r="J332" i="20"/>
  <c r="J335" i="20"/>
  <c r="J334" i="20" s="1"/>
  <c r="J343" i="20"/>
  <c r="J341" i="20" s="1"/>
  <c r="J340" i="20" s="1"/>
  <c r="J350" i="20"/>
  <c r="J348" i="20" s="1"/>
  <c r="J347" i="20" s="1"/>
  <c r="J356" i="20"/>
  <c r="J354" i="20" s="1"/>
  <c r="J353" i="20" s="1"/>
  <c r="J363" i="20"/>
  <c r="J362" i="20" s="1"/>
  <c r="J360" i="20" s="1"/>
  <c r="J359" i="20" s="1"/>
  <c r="J368" i="20"/>
  <c r="J366" i="20" s="1"/>
  <c r="J365" i="20" s="1"/>
  <c r="J375" i="20"/>
  <c r="J374" i="20" s="1"/>
  <c r="J372" i="20" s="1"/>
  <c r="J371" i="20" s="1"/>
  <c r="J381" i="20"/>
  <c r="J380" i="20" s="1"/>
  <c r="J378" i="20" s="1"/>
  <c r="J377" i="20" s="1"/>
  <c r="J387" i="20"/>
  <c r="J386" i="20" s="1"/>
  <c r="J384" i="20" s="1"/>
  <c r="J383" i="20" s="1"/>
  <c r="J396" i="20"/>
  <c r="J395" i="20" s="1"/>
  <c r="J393" i="20" s="1"/>
  <c r="J392" i="20" s="1"/>
  <c r="J404" i="20"/>
  <c r="J403" i="20" s="1"/>
  <c r="J401" i="20" s="1"/>
  <c r="J400" i="20" s="1"/>
  <c r="J413" i="20"/>
  <c r="J412" i="20" s="1"/>
  <c r="J410" i="20" s="1"/>
  <c r="J409" i="20" s="1"/>
  <c r="J420" i="20"/>
  <c r="J426" i="20"/>
  <c r="J434" i="20"/>
  <c r="J433" i="20" s="1"/>
  <c r="J431" i="20" s="1"/>
  <c r="J430" i="20" s="1"/>
  <c r="J441" i="20"/>
  <c r="J443" i="20"/>
  <c r="J450" i="20"/>
  <c r="J453" i="20"/>
  <c r="J461" i="20"/>
  <c r="J463" i="20"/>
  <c r="J470" i="20"/>
  <c r="J472" i="20"/>
  <c r="J479" i="20"/>
  <c r="J478" i="20" s="1"/>
  <c r="J476" i="20" s="1"/>
  <c r="J475" i="20" s="1"/>
  <c r="J486" i="20"/>
  <c r="J485" i="20" s="1"/>
  <c r="J483" i="20" s="1"/>
  <c r="J482" i="20" s="1"/>
  <c r="J492" i="20"/>
  <c r="J490" i="20" s="1"/>
  <c r="J489" i="20" s="1"/>
  <c r="J499" i="20"/>
  <c r="J498" i="20" s="1"/>
  <c r="J496" i="20" s="1"/>
  <c r="J495" i="20" s="1"/>
  <c r="J509" i="20"/>
  <c r="J510" i="20"/>
  <c r="J511" i="20"/>
  <c r="J512" i="20"/>
  <c r="J513" i="20"/>
  <c r="J515" i="20"/>
  <c r="J527" i="20"/>
  <c r="J525" i="20" s="1"/>
  <c r="J524" i="20" s="1"/>
  <c r="J534" i="20"/>
  <c r="J532" i="20" s="1"/>
  <c r="J531" i="20" s="1"/>
  <c r="J540" i="20"/>
  <c r="J538" i="20" s="1"/>
  <c r="J537" i="20" s="1"/>
  <c r="J547" i="20"/>
  <c r="J545" i="20" s="1"/>
  <c r="J544" i="20" s="1"/>
  <c r="J557" i="20"/>
  <c r="J555" i="20" s="1"/>
  <c r="J554" i="20" s="1"/>
  <c r="J563" i="20"/>
  <c r="J561" i="20" s="1"/>
  <c r="J560" i="20" s="1"/>
  <c r="J568" i="20"/>
  <c r="J567" i="20" s="1"/>
  <c r="J566" i="20" s="1"/>
  <c r="J585" i="20"/>
  <c r="J583" i="20" s="1"/>
  <c r="J582" i="20" s="1"/>
  <c r="J593" i="20"/>
  <c r="J599" i="20"/>
  <c r="J600" i="20"/>
  <c r="J617" i="20"/>
  <c r="J626" i="20"/>
  <c r="J641" i="20"/>
  <c r="J644" i="20"/>
  <c r="J658" i="20"/>
  <c r="J657" i="20" s="1"/>
  <c r="J655" i="20" s="1"/>
  <c r="J654" i="20" s="1"/>
  <c r="J663" i="20"/>
  <c r="J661" i="20" s="1"/>
  <c r="J660" i="20" s="1"/>
  <c r="J670" i="20"/>
  <c r="J668" i="20" s="1"/>
  <c r="J667" i="20" s="1"/>
  <c r="J676" i="20"/>
  <c r="J679" i="20"/>
  <c r="J688" i="20"/>
  <c r="J686" i="20" s="1"/>
  <c r="J685" i="20" s="1"/>
  <c r="J701" i="20"/>
  <c r="J699" i="20" s="1"/>
  <c r="J698" i="20" s="1"/>
  <c r="J710" i="20"/>
  <c r="J711" i="20"/>
  <c r="J713" i="20"/>
  <c r="J714" i="20"/>
  <c r="J719" i="20"/>
  <c r="J717" i="20" s="1"/>
  <c r="J716" i="20" s="1"/>
  <c r="J726" i="20"/>
  <c r="J727" i="20"/>
  <c r="J732" i="20"/>
  <c r="J730" i="20" s="1"/>
  <c r="J729" i="20" s="1"/>
  <c r="J738" i="20"/>
  <c r="J740" i="20"/>
  <c r="J746" i="20"/>
  <c r="J745" i="20" s="1"/>
  <c r="J757" i="20"/>
  <c r="J755" i="20" s="1"/>
  <c r="J754" i="20" s="1"/>
  <c r="J768" i="20"/>
  <c r="J766" i="20" s="1"/>
  <c r="J765" i="20" s="1"/>
  <c r="J773" i="20"/>
  <c r="J771" i="20" s="1"/>
  <c r="J770" i="20" s="1"/>
  <c r="J787" i="20"/>
  <c r="J786" i="20" s="1"/>
  <c r="J800" i="20"/>
  <c r="J798" i="20" s="1"/>
  <c r="J797" i="20" s="1"/>
  <c r="J809" i="20"/>
  <c r="J807" i="20" s="1"/>
  <c r="J806" i="20" s="1"/>
  <c r="J816" i="20"/>
  <c r="J814" i="20" s="1"/>
  <c r="J813" i="20" s="1"/>
  <c r="J822" i="20"/>
  <c r="J820" i="20" s="1"/>
  <c r="J819" i="20" s="1"/>
  <c r="J832" i="20"/>
  <c r="J830" i="20" s="1"/>
  <c r="J829" i="20" s="1"/>
  <c r="J845" i="20"/>
  <c r="J851" i="20"/>
  <c r="J859" i="20"/>
  <c r="J857" i="20" s="1"/>
  <c r="J856" i="20" s="1"/>
  <c r="J865" i="20"/>
  <c r="J863" i="20" s="1"/>
  <c r="J862" i="20" s="1"/>
  <c r="J871" i="20"/>
  <c r="J869" i="20" s="1"/>
  <c r="J868" i="20" s="1"/>
  <c r="J867" i="20" s="1"/>
  <c r="J878" i="20"/>
  <c r="J879" i="20"/>
  <c r="J880" i="20"/>
  <c r="J884" i="20"/>
  <c r="J882" i="20" s="1"/>
  <c r="J881" i="20" s="1"/>
  <c r="J890" i="20"/>
  <c r="J888" i="20" s="1"/>
  <c r="J887" i="20" s="1"/>
  <c r="J896" i="20"/>
  <c r="J894" i="20" s="1"/>
  <c r="J893" i="20" s="1"/>
  <c r="J902" i="20"/>
  <c r="J901" i="20" s="1"/>
  <c r="J900" i="20" s="1"/>
  <c r="J909" i="20"/>
  <c r="J911" i="20"/>
  <c r="J918" i="20"/>
  <c r="J916" i="20" s="1"/>
  <c r="J915" i="20" s="1"/>
  <c r="J923" i="20"/>
  <c r="J921" i="20" s="1"/>
  <c r="J920" i="20" s="1"/>
  <c r="J928" i="20"/>
  <c r="J926" i="20" s="1"/>
  <c r="J925" i="20" s="1"/>
  <c r="J933" i="20"/>
  <c r="J931" i="20" s="1"/>
  <c r="J930" i="20" s="1"/>
  <c r="J941" i="20"/>
  <c r="J939" i="20" s="1"/>
  <c r="J949" i="20"/>
  <c r="J950" i="20"/>
  <c r="J951" i="20"/>
  <c r="J953" i="20"/>
  <c r="J952" i="20" s="1"/>
  <c r="J956" i="20"/>
  <c r="J955" i="20" s="1"/>
  <c r="J954" i="20" s="1"/>
  <c r="J961" i="20"/>
  <c r="J959" i="20" s="1"/>
  <c r="J958" i="20" s="1"/>
  <c r="J966" i="20"/>
  <c r="J964" i="20" s="1"/>
  <c r="J963" i="20" s="1"/>
  <c r="J975" i="20"/>
  <c r="J973" i="20" s="1"/>
  <c r="J972" i="20" s="1"/>
  <c r="J980" i="20"/>
  <c r="J978" i="20" s="1"/>
  <c r="J977" i="20" s="1"/>
  <c r="J986" i="20"/>
  <c r="J984" i="20" s="1"/>
  <c r="J983" i="20" s="1"/>
  <c r="Y943" i="20"/>
  <c r="X943" i="20"/>
  <c r="W943" i="20"/>
  <c r="V943" i="20"/>
  <c r="AB941" i="20"/>
  <c r="AB939" i="20" s="1"/>
  <c r="AA941" i="20"/>
  <c r="AA939" i="20" s="1"/>
  <c r="Z941" i="20"/>
  <c r="Z939" i="20" s="1"/>
  <c r="Y941" i="20"/>
  <c r="Y939" i="20" s="1"/>
  <c r="X941" i="20"/>
  <c r="X939" i="20" s="1"/>
  <c r="W941" i="20"/>
  <c r="V941" i="20"/>
  <c r="V939" i="20" s="1"/>
  <c r="U941" i="20"/>
  <c r="U939" i="20" s="1"/>
  <c r="T941" i="20"/>
  <c r="T939" i="20" s="1"/>
  <c r="S941" i="20"/>
  <c r="S939" i="20" s="1"/>
  <c r="R941" i="20"/>
  <c r="R939" i="20" s="1"/>
  <c r="Q941" i="20"/>
  <c r="Q939" i="20" s="1"/>
  <c r="P941" i="20"/>
  <c r="P939" i="20" s="1"/>
  <c r="O941" i="20"/>
  <c r="O939" i="20" s="1"/>
  <c r="N941" i="20"/>
  <c r="N939" i="20" s="1"/>
  <c r="M941" i="20"/>
  <c r="M939" i="20" s="1"/>
  <c r="L941" i="20"/>
  <c r="L939" i="20" s="1"/>
  <c r="K941" i="20"/>
  <c r="K939" i="20" s="1"/>
  <c r="W17" i="20"/>
  <c r="K16" i="20"/>
  <c r="L16" i="20"/>
  <c r="M16" i="20"/>
  <c r="N16" i="20"/>
  <c r="O16" i="20"/>
  <c r="P16" i="20"/>
  <c r="Q16" i="20"/>
  <c r="R16" i="20"/>
  <c r="S16" i="20"/>
  <c r="T16" i="20"/>
  <c r="U16" i="20"/>
  <c r="V16" i="20"/>
  <c r="X16" i="20"/>
  <c r="Y16" i="20"/>
  <c r="Z16" i="20"/>
  <c r="AA16" i="20"/>
  <c r="K18" i="20"/>
  <c r="L18" i="20"/>
  <c r="M18" i="20"/>
  <c r="O18" i="20"/>
  <c r="P18" i="20"/>
  <c r="Q18" i="20"/>
  <c r="S18" i="20"/>
  <c r="T18" i="20"/>
  <c r="U18" i="20"/>
  <c r="V18" i="20"/>
  <c r="X18" i="20"/>
  <c r="Y18" i="20"/>
  <c r="Z18" i="20"/>
  <c r="AA18" i="20"/>
  <c r="W20" i="20"/>
  <c r="AC20" i="20" s="1"/>
  <c r="W21" i="20"/>
  <c r="AC21" i="20" s="1"/>
  <c r="W22" i="20"/>
  <c r="AC22" i="20" s="1"/>
  <c r="W23" i="20"/>
  <c r="AC23" i="20" s="1"/>
  <c r="W24" i="20"/>
  <c r="AC24" i="20" s="1"/>
  <c r="K28" i="20"/>
  <c r="L28" i="20"/>
  <c r="O28" i="20"/>
  <c r="P28" i="20"/>
  <c r="S28" i="20"/>
  <c r="T28" i="20"/>
  <c r="V28" i="20"/>
  <c r="X28" i="20"/>
  <c r="Y28" i="20"/>
  <c r="Z28" i="20"/>
  <c r="AA28" i="20"/>
  <c r="W30" i="20"/>
  <c r="AC30" i="20" s="1"/>
  <c r="W31" i="20"/>
  <c r="AC31" i="20" s="1"/>
  <c r="W32" i="20"/>
  <c r="AC32" i="20" s="1"/>
  <c r="W33" i="20"/>
  <c r="AC33" i="20" s="1"/>
  <c r="W34" i="20"/>
  <c r="AC34" i="20" s="1"/>
  <c r="W35" i="20"/>
  <c r="AC35" i="20" s="1"/>
  <c r="W36" i="20"/>
  <c r="AC36" i="20" s="1"/>
  <c r="W39" i="20"/>
  <c r="AC39" i="20" s="1"/>
  <c r="W40" i="20"/>
  <c r="AC40" i="20" s="1"/>
  <c r="W41" i="20"/>
  <c r="AC41" i="20" s="1"/>
  <c r="K37" i="20"/>
  <c r="L37" i="20"/>
  <c r="O37" i="20"/>
  <c r="P37" i="20"/>
  <c r="Q37" i="20"/>
  <c r="S37" i="20"/>
  <c r="T37" i="20"/>
  <c r="V37" i="20"/>
  <c r="X37" i="20"/>
  <c r="Y37" i="20"/>
  <c r="Z37" i="20"/>
  <c r="AA37" i="20"/>
  <c r="K45" i="20"/>
  <c r="K44" i="20" s="1"/>
  <c r="K43" i="20" s="1"/>
  <c r="L45" i="20"/>
  <c r="L44" i="20" s="1"/>
  <c r="L43" i="20" s="1"/>
  <c r="M45" i="20"/>
  <c r="M44" i="20" s="1"/>
  <c r="M43" i="20" s="1"/>
  <c r="O45" i="20"/>
  <c r="O44" i="20" s="1"/>
  <c r="O43" i="20" s="1"/>
  <c r="P45" i="20"/>
  <c r="P44" i="20" s="1"/>
  <c r="P43" i="20" s="1"/>
  <c r="S45" i="20"/>
  <c r="S44" i="20" s="1"/>
  <c r="S43" i="20" s="1"/>
  <c r="T45" i="20"/>
  <c r="T44" i="20" s="1"/>
  <c r="T43" i="20" s="1"/>
  <c r="V45" i="20"/>
  <c r="V44" i="20" s="1"/>
  <c r="V43" i="20" s="1"/>
  <c r="X45" i="20"/>
  <c r="X44" i="20" s="1"/>
  <c r="X43" i="20" s="1"/>
  <c r="Y45" i="20"/>
  <c r="Y44" i="20" s="1"/>
  <c r="Y43" i="20" s="1"/>
  <c r="Z45" i="20"/>
  <c r="Z44" i="20" s="1"/>
  <c r="Z43" i="20" s="1"/>
  <c r="AA45" i="20"/>
  <c r="AA44" i="20" s="1"/>
  <c r="AA43" i="20" s="1"/>
  <c r="W47" i="20"/>
  <c r="AC47" i="20" s="1"/>
  <c r="W48" i="20"/>
  <c r="AC48" i="20" s="1"/>
  <c r="K54" i="20"/>
  <c r="K52" i="20" s="1"/>
  <c r="K51" i="20" s="1"/>
  <c r="L54" i="20"/>
  <c r="L52" i="20" s="1"/>
  <c r="L51" i="20" s="1"/>
  <c r="M54" i="20"/>
  <c r="M52" i="20" s="1"/>
  <c r="M51" i="20" s="1"/>
  <c r="O54" i="20"/>
  <c r="O52" i="20" s="1"/>
  <c r="O51" i="20" s="1"/>
  <c r="P54" i="20"/>
  <c r="P52" i="20" s="1"/>
  <c r="P51" i="20" s="1"/>
  <c r="Q54" i="20"/>
  <c r="Q52" i="20" s="1"/>
  <c r="Q51" i="20" s="1"/>
  <c r="S54" i="20"/>
  <c r="S52" i="20" s="1"/>
  <c r="S51" i="20" s="1"/>
  <c r="T54" i="20"/>
  <c r="T52" i="20" s="1"/>
  <c r="T51" i="20" s="1"/>
  <c r="U54" i="20"/>
  <c r="U52" i="20" s="1"/>
  <c r="U51" i="20" s="1"/>
  <c r="V54" i="20"/>
  <c r="V52" i="20" s="1"/>
  <c r="V51" i="20" s="1"/>
  <c r="X54" i="20"/>
  <c r="X52" i="20" s="1"/>
  <c r="X51" i="20" s="1"/>
  <c r="Y54" i="20"/>
  <c r="Y52" i="20" s="1"/>
  <c r="Y51" i="20" s="1"/>
  <c r="Z54" i="20"/>
  <c r="Z52" i="20" s="1"/>
  <c r="Z51" i="20" s="1"/>
  <c r="AA54" i="20"/>
  <c r="AA52" i="20" s="1"/>
  <c r="AA51" i="20" s="1"/>
  <c r="K61" i="20"/>
  <c r="K59" i="20" s="1"/>
  <c r="K58" i="20" s="1"/>
  <c r="L61" i="20"/>
  <c r="L59" i="20" s="1"/>
  <c r="L58" i="20" s="1"/>
  <c r="M61" i="20"/>
  <c r="M59" i="20" s="1"/>
  <c r="M58" i="20" s="1"/>
  <c r="N61" i="20"/>
  <c r="N59" i="20" s="1"/>
  <c r="N58" i="20" s="1"/>
  <c r="O61" i="20"/>
  <c r="O59" i="20" s="1"/>
  <c r="O58" i="20" s="1"/>
  <c r="P61" i="20"/>
  <c r="P59" i="20" s="1"/>
  <c r="P58" i="20" s="1"/>
  <c r="Q61" i="20"/>
  <c r="Q59" i="20" s="1"/>
  <c r="Q58" i="20" s="1"/>
  <c r="R61" i="20"/>
  <c r="R59" i="20" s="1"/>
  <c r="R58" i="20" s="1"/>
  <c r="S61" i="20"/>
  <c r="S59" i="20" s="1"/>
  <c r="S58" i="20" s="1"/>
  <c r="T61" i="20"/>
  <c r="T59" i="20" s="1"/>
  <c r="T58" i="20" s="1"/>
  <c r="U61" i="20"/>
  <c r="U59" i="20" s="1"/>
  <c r="U58" i="20" s="1"/>
  <c r="V61" i="20"/>
  <c r="V59" i="20" s="1"/>
  <c r="V58" i="20" s="1"/>
  <c r="X61" i="20"/>
  <c r="X59" i="20" s="1"/>
  <c r="X58" i="20" s="1"/>
  <c r="Y61" i="20"/>
  <c r="Y59" i="20" s="1"/>
  <c r="Y58" i="20" s="1"/>
  <c r="Z61" i="20"/>
  <c r="Z59" i="20" s="1"/>
  <c r="Z58" i="20" s="1"/>
  <c r="AA61" i="20"/>
  <c r="AA59" i="20" s="1"/>
  <c r="AA58" i="20" s="1"/>
  <c r="K66" i="20"/>
  <c r="L66" i="20"/>
  <c r="M66" i="20"/>
  <c r="N66" i="20"/>
  <c r="O66" i="20"/>
  <c r="P66" i="20"/>
  <c r="Q66" i="20"/>
  <c r="R66" i="20"/>
  <c r="S66" i="20"/>
  <c r="T66" i="20"/>
  <c r="U66" i="20"/>
  <c r="X66" i="20"/>
  <c r="Y66" i="20"/>
  <c r="Z66" i="20"/>
  <c r="W67" i="20"/>
  <c r="W68" i="20"/>
  <c r="AC68" i="20" s="1"/>
  <c r="W69" i="20"/>
  <c r="AC69" i="20" s="1"/>
  <c r="W73" i="20"/>
  <c r="AC73" i="20" s="1"/>
  <c r="W74" i="20"/>
  <c r="AC74" i="20" s="1"/>
  <c r="K71" i="20"/>
  <c r="L71" i="20"/>
  <c r="M71" i="20"/>
  <c r="N71" i="20"/>
  <c r="O71" i="20"/>
  <c r="P71" i="20"/>
  <c r="Q71" i="20"/>
  <c r="R71" i="20"/>
  <c r="S71" i="20"/>
  <c r="T71" i="20"/>
  <c r="U71" i="20"/>
  <c r="V71" i="20"/>
  <c r="X71" i="20"/>
  <c r="Y71" i="20"/>
  <c r="Z71" i="20"/>
  <c r="AA71" i="20"/>
  <c r="W81" i="20"/>
  <c r="AC81" i="20" s="1"/>
  <c r="W82" i="20"/>
  <c r="AC82" i="20" s="1"/>
  <c r="K79" i="20"/>
  <c r="K77" i="20" s="1"/>
  <c r="K76" i="20" s="1"/>
  <c r="L79" i="20"/>
  <c r="L77" i="20" s="1"/>
  <c r="L76" i="20" s="1"/>
  <c r="M79" i="20"/>
  <c r="M77" i="20" s="1"/>
  <c r="M76" i="20" s="1"/>
  <c r="N79" i="20"/>
  <c r="N77" i="20" s="1"/>
  <c r="N76" i="20" s="1"/>
  <c r="O79" i="20"/>
  <c r="O77" i="20" s="1"/>
  <c r="O76" i="20" s="1"/>
  <c r="P79" i="20"/>
  <c r="P77" i="20" s="1"/>
  <c r="P76" i="20" s="1"/>
  <c r="Q79" i="20"/>
  <c r="Q77" i="20" s="1"/>
  <c r="Q76" i="20" s="1"/>
  <c r="R79" i="20"/>
  <c r="R77" i="20" s="1"/>
  <c r="R76" i="20" s="1"/>
  <c r="S79" i="20"/>
  <c r="S77" i="20" s="1"/>
  <c r="S76" i="20" s="1"/>
  <c r="T79" i="20"/>
  <c r="T77" i="20" s="1"/>
  <c r="T76" i="20" s="1"/>
  <c r="U79" i="20"/>
  <c r="U77" i="20" s="1"/>
  <c r="U76" i="20" s="1"/>
  <c r="V79" i="20"/>
  <c r="V77" i="20" s="1"/>
  <c r="V76" i="20" s="1"/>
  <c r="X79" i="20"/>
  <c r="X77" i="20" s="1"/>
  <c r="X76" i="20" s="1"/>
  <c r="Y79" i="20"/>
  <c r="Y77" i="20" s="1"/>
  <c r="Y76" i="20" s="1"/>
  <c r="Z79" i="20"/>
  <c r="Z77" i="20" s="1"/>
  <c r="Z76" i="20" s="1"/>
  <c r="AA79" i="20"/>
  <c r="AA77" i="20" s="1"/>
  <c r="AA76" i="20" s="1"/>
  <c r="W89" i="20"/>
  <c r="AC89" i="20" s="1"/>
  <c r="W90" i="20"/>
  <c r="AC90" i="20" s="1"/>
  <c r="W91" i="20"/>
  <c r="AC91" i="20" s="1"/>
  <c r="W92" i="20"/>
  <c r="AC92" i="20" s="1"/>
  <c r="K86" i="20"/>
  <c r="L86" i="20"/>
  <c r="M86" i="20"/>
  <c r="N86" i="20"/>
  <c r="O86" i="20"/>
  <c r="P86" i="20"/>
  <c r="Q86" i="20"/>
  <c r="R86" i="20"/>
  <c r="S86" i="20"/>
  <c r="T86" i="20"/>
  <c r="U86" i="20"/>
  <c r="V86" i="20"/>
  <c r="X86" i="20"/>
  <c r="Y86" i="20"/>
  <c r="Z86" i="20"/>
  <c r="AA86" i="20"/>
  <c r="K88" i="20"/>
  <c r="L88" i="20"/>
  <c r="M88" i="20"/>
  <c r="N88" i="20"/>
  <c r="O88" i="20"/>
  <c r="P88" i="20"/>
  <c r="Q88" i="20"/>
  <c r="R88" i="20"/>
  <c r="S88" i="20"/>
  <c r="T88" i="20"/>
  <c r="U88" i="20"/>
  <c r="X88" i="20"/>
  <c r="Y88" i="20"/>
  <c r="Z88" i="20"/>
  <c r="AA88" i="20"/>
  <c r="K97" i="20"/>
  <c r="K95" i="20" s="1"/>
  <c r="K94" i="20" s="1"/>
  <c r="L97" i="20"/>
  <c r="L95" i="20" s="1"/>
  <c r="L94" i="20" s="1"/>
  <c r="M97" i="20"/>
  <c r="M95" i="20" s="1"/>
  <c r="M94" i="20" s="1"/>
  <c r="N97" i="20"/>
  <c r="N95" i="20" s="1"/>
  <c r="N94" i="20" s="1"/>
  <c r="O97" i="20"/>
  <c r="O95" i="20" s="1"/>
  <c r="O94" i="20" s="1"/>
  <c r="P97" i="20"/>
  <c r="P95" i="20" s="1"/>
  <c r="P94" i="20" s="1"/>
  <c r="Q97" i="20"/>
  <c r="Q95" i="20" s="1"/>
  <c r="Q94" i="20" s="1"/>
  <c r="R97" i="20"/>
  <c r="R95" i="20" s="1"/>
  <c r="R94" i="20" s="1"/>
  <c r="S97" i="20"/>
  <c r="S95" i="20" s="1"/>
  <c r="S94" i="20" s="1"/>
  <c r="T97" i="20"/>
  <c r="T95" i="20" s="1"/>
  <c r="T94" i="20" s="1"/>
  <c r="U97" i="20"/>
  <c r="U95" i="20" s="1"/>
  <c r="U94" i="20" s="1"/>
  <c r="V97" i="20"/>
  <c r="V95" i="20" s="1"/>
  <c r="V94" i="20" s="1"/>
  <c r="X97" i="20"/>
  <c r="X95" i="20" s="1"/>
  <c r="X94" i="20" s="1"/>
  <c r="Y97" i="20"/>
  <c r="Y95" i="20" s="1"/>
  <c r="Y94" i="20" s="1"/>
  <c r="AA97" i="20"/>
  <c r="AA95" i="20" s="1"/>
  <c r="AA94" i="20" s="1"/>
  <c r="K102" i="20"/>
  <c r="K101" i="20" s="1"/>
  <c r="L102" i="20"/>
  <c r="L101" i="20" s="1"/>
  <c r="M102" i="20"/>
  <c r="M101" i="20" s="1"/>
  <c r="N102" i="20"/>
  <c r="N101" i="20" s="1"/>
  <c r="O102" i="20"/>
  <c r="O101" i="20" s="1"/>
  <c r="P102" i="20"/>
  <c r="P101" i="20" s="1"/>
  <c r="Q102" i="20"/>
  <c r="Q101" i="20" s="1"/>
  <c r="R102" i="20"/>
  <c r="R101" i="20" s="1"/>
  <c r="S102" i="20"/>
  <c r="S101" i="20" s="1"/>
  <c r="T102" i="20"/>
  <c r="T101" i="20" s="1"/>
  <c r="U102" i="20"/>
  <c r="U101" i="20" s="1"/>
  <c r="V102" i="20"/>
  <c r="V101" i="20" s="1"/>
  <c r="X102" i="20"/>
  <c r="X101" i="20" s="1"/>
  <c r="Y103" i="20"/>
  <c r="Y102" i="20" s="1"/>
  <c r="Y101" i="20" s="1"/>
  <c r="Z103" i="20"/>
  <c r="Z102" i="20" s="1"/>
  <c r="Z101" i="20" s="1"/>
  <c r="AA103" i="20"/>
  <c r="AA102" i="20" s="1"/>
  <c r="AA101" i="20" s="1"/>
  <c r="K118" i="20"/>
  <c r="K116" i="20" s="1"/>
  <c r="K115" i="20" s="1"/>
  <c r="L118" i="20"/>
  <c r="L116" i="20" s="1"/>
  <c r="L115" i="20" s="1"/>
  <c r="M118" i="20"/>
  <c r="M116" i="20" s="1"/>
  <c r="M115" i="20" s="1"/>
  <c r="N118" i="20"/>
  <c r="N116" i="20" s="1"/>
  <c r="N115" i="20" s="1"/>
  <c r="O118" i="20"/>
  <c r="O116" i="20" s="1"/>
  <c r="O115" i="20" s="1"/>
  <c r="P118" i="20"/>
  <c r="P116" i="20" s="1"/>
  <c r="P115" i="20" s="1"/>
  <c r="Q118" i="20"/>
  <c r="Q116" i="20" s="1"/>
  <c r="Q115" i="20" s="1"/>
  <c r="R118" i="20"/>
  <c r="R116" i="20" s="1"/>
  <c r="R115" i="20" s="1"/>
  <c r="S118" i="20"/>
  <c r="S116" i="20" s="1"/>
  <c r="S115" i="20" s="1"/>
  <c r="T118" i="20"/>
  <c r="T116" i="20" s="1"/>
  <c r="T115" i="20" s="1"/>
  <c r="U118" i="20"/>
  <c r="U116" i="20" s="1"/>
  <c r="U115" i="20" s="1"/>
  <c r="V118" i="20"/>
  <c r="V116" i="20" s="1"/>
  <c r="V115" i="20" s="1"/>
  <c r="X118" i="20"/>
  <c r="X116" i="20" s="1"/>
  <c r="X115" i="20" s="1"/>
  <c r="Y118" i="20"/>
  <c r="Y116" i="20" s="1"/>
  <c r="Y115" i="20" s="1"/>
  <c r="Z118" i="20"/>
  <c r="Z116" i="20" s="1"/>
  <c r="Z115" i="20" s="1"/>
  <c r="AA118" i="20"/>
  <c r="AA116" i="20" s="1"/>
  <c r="AA115" i="20" s="1"/>
  <c r="W120" i="20"/>
  <c r="AC120" i="20" s="1"/>
  <c r="W121" i="20"/>
  <c r="AC121" i="20" s="1"/>
  <c r="K126" i="20"/>
  <c r="K124" i="20" s="1"/>
  <c r="K123" i="20" s="1"/>
  <c r="L126" i="20"/>
  <c r="L124" i="20" s="1"/>
  <c r="L123" i="20" s="1"/>
  <c r="N126" i="20"/>
  <c r="N124" i="20" s="1"/>
  <c r="N123" i="20" s="1"/>
  <c r="O126" i="20"/>
  <c r="O124" i="20" s="1"/>
  <c r="O123" i="20" s="1"/>
  <c r="P126" i="20"/>
  <c r="P124" i="20" s="1"/>
  <c r="P123" i="20" s="1"/>
  <c r="R126" i="20"/>
  <c r="R124" i="20" s="1"/>
  <c r="R123" i="20" s="1"/>
  <c r="S126" i="20"/>
  <c r="S124" i="20" s="1"/>
  <c r="S123" i="20" s="1"/>
  <c r="T126" i="20"/>
  <c r="T124" i="20" s="1"/>
  <c r="T123" i="20" s="1"/>
  <c r="V126" i="20"/>
  <c r="V124" i="20" s="1"/>
  <c r="V123" i="20" s="1"/>
  <c r="X126" i="20"/>
  <c r="X124" i="20" s="1"/>
  <c r="X123" i="20" s="1"/>
  <c r="Y126" i="20"/>
  <c r="Y124" i="20" s="1"/>
  <c r="Y123" i="20" s="1"/>
  <c r="Z126" i="20"/>
  <c r="Z124" i="20" s="1"/>
  <c r="Z123" i="20" s="1"/>
  <c r="AA126" i="20"/>
  <c r="AA124" i="20" s="1"/>
  <c r="AA123" i="20" s="1"/>
  <c r="W128" i="20"/>
  <c r="W127" i="20"/>
  <c r="AC127" i="20" s="1"/>
  <c r="X133" i="20"/>
  <c r="X131" i="20" s="1"/>
  <c r="X130" i="20" s="1"/>
  <c r="Y133" i="20"/>
  <c r="Y131" i="20" s="1"/>
  <c r="Y130" i="20" s="1"/>
  <c r="Z133" i="20"/>
  <c r="Z131" i="20" s="1"/>
  <c r="Z130" i="20" s="1"/>
  <c r="AA133" i="20"/>
  <c r="AA131" i="20" s="1"/>
  <c r="AA130" i="20" s="1"/>
  <c r="W142" i="20"/>
  <c r="AC142" i="20" s="1"/>
  <c r="K133" i="20"/>
  <c r="K131" i="20" s="1"/>
  <c r="K130" i="20" s="1"/>
  <c r="L133" i="20"/>
  <c r="L131" i="20" s="1"/>
  <c r="L130" i="20" s="1"/>
  <c r="M133" i="20"/>
  <c r="M131" i="20" s="1"/>
  <c r="M130" i="20" s="1"/>
  <c r="N133" i="20"/>
  <c r="N131" i="20" s="1"/>
  <c r="N130" i="20" s="1"/>
  <c r="O133" i="20"/>
  <c r="O131" i="20" s="1"/>
  <c r="O130" i="20" s="1"/>
  <c r="P133" i="20"/>
  <c r="P131" i="20" s="1"/>
  <c r="P130" i="20" s="1"/>
  <c r="Q133" i="20"/>
  <c r="Q131" i="20" s="1"/>
  <c r="Q130" i="20" s="1"/>
  <c r="R133" i="20"/>
  <c r="R131" i="20" s="1"/>
  <c r="R130" i="20" s="1"/>
  <c r="S133" i="20"/>
  <c r="S131" i="20" s="1"/>
  <c r="S130" i="20" s="1"/>
  <c r="T133" i="20"/>
  <c r="T131" i="20" s="1"/>
  <c r="T130" i="20" s="1"/>
  <c r="U133" i="20"/>
  <c r="U131" i="20" s="1"/>
  <c r="U130" i="20" s="1"/>
  <c r="V133" i="20"/>
  <c r="V131" i="20" s="1"/>
  <c r="V130" i="20" s="1"/>
  <c r="K140" i="20"/>
  <c r="L140" i="20"/>
  <c r="M140" i="20"/>
  <c r="N140" i="20"/>
  <c r="O140" i="20"/>
  <c r="P140" i="20"/>
  <c r="Q140" i="20"/>
  <c r="R140" i="20"/>
  <c r="S140" i="20"/>
  <c r="T140" i="20"/>
  <c r="U140" i="20"/>
  <c r="V140" i="20"/>
  <c r="X140" i="20"/>
  <c r="Y140" i="20"/>
  <c r="Z140" i="20"/>
  <c r="AA140" i="20"/>
  <c r="K143" i="20"/>
  <c r="L143" i="20"/>
  <c r="M143" i="20"/>
  <c r="N143" i="20"/>
  <c r="O143" i="20"/>
  <c r="P143" i="20"/>
  <c r="Q143" i="20"/>
  <c r="R143" i="20"/>
  <c r="S143" i="20"/>
  <c r="T143" i="20"/>
  <c r="U143" i="20"/>
  <c r="X143" i="20"/>
  <c r="Y143" i="20"/>
  <c r="Z143" i="20"/>
  <c r="AA143" i="20"/>
  <c r="K149" i="20"/>
  <c r="K147" i="20" s="1"/>
  <c r="K146" i="20" s="1"/>
  <c r="L149" i="20"/>
  <c r="L147" i="20" s="1"/>
  <c r="L146" i="20" s="1"/>
  <c r="M149" i="20"/>
  <c r="M147" i="20" s="1"/>
  <c r="M146" i="20" s="1"/>
  <c r="N149" i="20"/>
  <c r="N147" i="20" s="1"/>
  <c r="N146" i="20" s="1"/>
  <c r="O149" i="20"/>
  <c r="O147" i="20" s="1"/>
  <c r="O146" i="20" s="1"/>
  <c r="P149" i="20"/>
  <c r="P147" i="20" s="1"/>
  <c r="P146" i="20" s="1"/>
  <c r="Q149" i="20"/>
  <c r="Q147" i="20" s="1"/>
  <c r="Q146" i="20" s="1"/>
  <c r="R149" i="20"/>
  <c r="R147" i="20" s="1"/>
  <c r="R146" i="20" s="1"/>
  <c r="S149" i="20"/>
  <c r="S147" i="20" s="1"/>
  <c r="S146" i="20" s="1"/>
  <c r="T149" i="20"/>
  <c r="T147" i="20" s="1"/>
  <c r="T146" i="20" s="1"/>
  <c r="U149" i="20"/>
  <c r="U147" i="20" s="1"/>
  <c r="U146" i="20" s="1"/>
  <c r="V149" i="20"/>
  <c r="V147" i="20" s="1"/>
  <c r="V146" i="20" s="1"/>
  <c r="X149" i="20"/>
  <c r="X147" i="20" s="1"/>
  <c r="X146" i="20" s="1"/>
  <c r="Y149" i="20"/>
  <c r="Y147" i="20" s="1"/>
  <c r="Y146" i="20" s="1"/>
  <c r="Z149" i="20"/>
  <c r="Z147" i="20" s="1"/>
  <c r="Z146" i="20" s="1"/>
  <c r="AA149" i="20"/>
  <c r="AA147" i="20" s="1"/>
  <c r="AA146" i="20" s="1"/>
  <c r="K156" i="20"/>
  <c r="K154" i="20" s="1"/>
  <c r="K153" i="20" s="1"/>
  <c r="K152" i="20" s="1"/>
  <c r="M156" i="20"/>
  <c r="M154" i="20" s="1"/>
  <c r="M153" i="20" s="1"/>
  <c r="M152" i="20" s="1"/>
  <c r="N156" i="20"/>
  <c r="N154" i="20" s="1"/>
  <c r="N153" i="20" s="1"/>
  <c r="N152" i="20" s="1"/>
  <c r="O156" i="20"/>
  <c r="O154" i="20" s="1"/>
  <c r="O153" i="20" s="1"/>
  <c r="O152" i="20" s="1"/>
  <c r="P156" i="20"/>
  <c r="P154" i="20" s="1"/>
  <c r="P153" i="20" s="1"/>
  <c r="P152" i="20" s="1"/>
  <c r="Q156" i="20"/>
  <c r="Q154" i="20" s="1"/>
  <c r="Q153" i="20" s="1"/>
  <c r="Q152" i="20" s="1"/>
  <c r="R156" i="20"/>
  <c r="R154" i="20" s="1"/>
  <c r="R153" i="20" s="1"/>
  <c r="R152" i="20" s="1"/>
  <c r="S156" i="20"/>
  <c r="S154" i="20" s="1"/>
  <c r="S153" i="20" s="1"/>
  <c r="S152" i="20" s="1"/>
  <c r="T156" i="20"/>
  <c r="T154" i="20" s="1"/>
  <c r="T153" i="20" s="1"/>
  <c r="T152" i="20" s="1"/>
  <c r="U156" i="20"/>
  <c r="U154" i="20" s="1"/>
  <c r="U153" i="20" s="1"/>
  <c r="U152" i="20" s="1"/>
  <c r="V156" i="20"/>
  <c r="V154" i="20" s="1"/>
  <c r="V153" i="20" s="1"/>
  <c r="V152" i="20" s="1"/>
  <c r="X156" i="20"/>
  <c r="X154" i="20" s="1"/>
  <c r="X153" i="20" s="1"/>
  <c r="X152" i="20" s="1"/>
  <c r="Y156" i="20"/>
  <c r="Y154" i="20" s="1"/>
  <c r="Y153" i="20" s="1"/>
  <c r="Y152" i="20" s="1"/>
  <c r="Z156" i="20"/>
  <c r="Z154" i="20" s="1"/>
  <c r="Z153" i="20" s="1"/>
  <c r="Z152" i="20" s="1"/>
  <c r="AA156" i="20"/>
  <c r="AA154" i="20" s="1"/>
  <c r="AA153" i="20" s="1"/>
  <c r="AA152" i="20" s="1"/>
  <c r="K163" i="20"/>
  <c r="K161" i="20" s="1"/>
  <c r="K160" i="20" s="1"/>
  <c r="K159" i="20" s="1"/>
  <c r="L163" i="20"/>
  <c r="L161" i="20" s="1"/>
  <c r="L160" i="20" s="1"/>
  <c r="L159" i="20" s="1"/>
  <c r="M163" i="20"/>
  <c r="M161" i="20" s="1"/>
  <c r="M160" i="20" s="1"/>
  <c r="M159" i="20" s="1"/>
  <c r="N163" i="20"/>
  <c r="N161" i="20" s="1"/>
  <c r="N160" i="20" s="1"/>
  <c r="N159" i="20" s="1"/>
  <c r="O163" i="20"/>
  <c r="O161" i="20" s="1"/>
  <c r="O160" i="20" s="1"/>
  <c r="O159" i="20" s="1"/>
  <c r="P163" i="20"/>
  <c r="P161" i="20" s="1"/>
  <c r="P160" i="20" s="1"/>
  <c r="P159" i="20" s="1"/>
  <c r="Q163" i="20"/>
  <c r="Q161" i="20" s="1"/>
  <c r="Q160" i="20" s="1"/>
  <c r="Q159" i="20" s="1"/>
  <c r="R163" i="20"/>
  <c r="R161" i="20" s="1"/>
  <c r="R160" i="20" s="1"/>
  <c r="R159" i="20" s="1"/>
  <c r="S163" i="20"/>
  <c r="S161" i="20" s="1"/>
  <c r="S160" i="20" s="1"/>
  <c r="S159" i="20" s="1"/>
  <c r="T163" i="20"/>
  <c r="T161" i="20" s="1"/>
  <c r="T160" i="20" s="1"/>
  <c r="T159" i="20" s="1"/>
  <c r="U163" i="20"/>
  <c r="U161" i="20" s="1"/>
  <c r="U160" i="20" s="1"/>
  <c r="U159" i="20" s="1"/>
  <c r="V163" i="20"/>
  <c r="V161" i="20" s="1"/>
  <c r="V160" i="20" s="1"/>
  <c r="V159" i="20" s="1"/>
  <c r="X163" i="20"/>
  <c r="X161" i="20" s="1"/>
  <c r="X160" i="20" s="1"/>
  <c r="X159" i="20" s="1"/>
  <c r="Y163" i="20"/>
  <c r="Y161" i="20" s="1"/>
  <c r="Y160" i="20" s="1"/>
  <c r="Y159" i="20" s="1"/>
  <c r="Z163" i="20"/>
  <c r="Z161" i="20" s="1"/>
  <c r="Z160" i="20" s="1"/>
  <c r="Z159" i="20" s="1"/>
  <c r="AA163" i="20"/>
  <c r="AA161" i="20" s="1"/>
  <c r="AA160" i="20" s="1"/>
  <c r="AA159" i="20" s="1"/>
  <c r="K169" i="20"/>
  <c r="K168" i="20" s="1"/>
  <c r="K167" i="20" s="1"/>
  <c r="L169" i="20"/>
  <c r="L168" i="20" s="1"/>
  <c r="L167" i="20" s="1"/>
  <c r="M169" i="20"/>
  <c r="M168" i="20" s="1"/>
  <c r="M167" i="20" s="1"/>
  <c r="O169" i="20"/>
  <c r="O168" i="20" s="1"/>
  <c r="O167" i="20" s="1"/>
  <c r="P169" i="20"/>
  <c r="P168" i="20" s="1"/>
  <c r="P167" i="20" s="1"/>
  <c r="S169" i="20"/>
  <c r="S168" i="20" s="1"/>
  <c r="S167" i="20" s="1"/>
  <c r="T169" i="20"/>
  <c r="T168" i="20" s="1"/>
  <c r="T167" i="20" s="1"/>
  <c r="V169" i="20"/>
  <c r="V168" i="20" s="1"/>
  <c r="V167" i="20" s="1"/>
  <c r="X169" i="20"/>
  <c r="X168" i="20" s="1"/>
  <c r="X167" i="20" s="1"/>
  <c r="Y169" i="20"/>
  <c r="Y168" i="20" s="1"/>
  <c r="Y167" i="20" s="1"/>
  <c r="Z169" i="20"/>
  <c r="Z168" i="20" s="1"/>
  <c r="Z167" i="20" s="1"/>
  <c r="AA169" i="20"/>
  <c r="AA168" i="20" s="1"/>
  <c r="AA167" i="20" s="1"/>
  <c r="K176" i="20"/>
  <c r="K175" i="20" s="1"/>
  <c r="K174" i="20" s="1"/>
  <c r="L176" i="20"/>
  <c r="L175" i="20" s="1"/>
  <c r="L174" i="20" s="1"/>
  <c r="M176" i="20"/>
  <c r="M175" i="20" s="1"/>
  <c r="M174" i="20" s="1"/>
  <c r="N176" i="20"/>
  <c r="N175" i="20" s="1"/>
  <c r="N174" i="20" s="1"/>
  <c r="O176" i="20"/>
  <c r="O175" i="20" s="1"/>
  <c r="O174" i="20" s="1"/>
  <c r="P176" i="20"/>
  <c r="P175" i="20" s="1"/>
  <c r="P174" i="20" s="1"/>
  <c r="Q176" i="20"/>
  <c r="Q175" i="20" s="1"/>
  <c r="Q174" i="20" s="1"/>
  <c r="R176" i="20"/>
  <c r="R175" i="20" s="1"/>
  <c r="R174" i="20" s="1"/>
  <c r="S176" i="20"/>
  <c r="S175" i="20" s="1"/>
  <c r="S174" i="20" s="1"/>
  <c r="T176" i="20"/>
  <c r="T175" i="20" s="1"/>
  <c r="T174" i="20" s="1"/>
  <c r="U176" i="20"/>
  <c r="U175" i="20" s="1"/>
  <c r="U174" i="20" s="1"/>
  <c r="V176" i="20"/>
  <c r="V175" i="20" s="1"/>
  <c r="V174" i="20" s="1"/>
  <c r="X176" i="20"/>
  <c r="X175" i="20" s="1"/>
  <c r="X174" i="20" s="1"/>
  <c r="Y176" i="20"/>
  <c r="Y175" i="20" s="1"/>
  <c r="Y174" i="20" s="1"/>
  <c r="Z176" i="20"/>
  <c r="Z175" i="20" s="1"/>
  <c r="Z174" i="20" s="1"/>
  <c r="AA176" i="20"/>
  <c r="AA175" i="20" s="1"/>
  <c r="AA174" i="20" s="1"/>
  <c r="K183" i="20"/>
  <c r="K181" i="20" s="1"/>
  <c r="K180" i="20" s="1"/>
  <c r="L183" i="20"/>
  <c r="L181" i="20" s="1"/>
  <c r="L180" i="20" s="1"/>
  <c r="M183" i="20"/>
  <c r="M181" i="20" s="1"/>
  <c r="M180" i="20" s="1"/>
  <c r="N183" i="20"/>
  <c r="N181" i="20" s="1"/>
  <c r="N180" i="20" s="1"/>
  <c r="O183" i="20"/>
  <c r="O181" i="20" s="1"/>
  <c r="O180" i="20" s="1"/>
  <c r="P183" i="20"/>
  <c r="P181" i="20" s="1"/>
  <c r="P180" i="20" s="1"/>
  <c r="Q183" i="20"/>
  <c r="Q181" i="20" s="1"/>
  <c r="Q180" i="20" s="1"/>
  <c r="R183" i="20"/>
  <c r="R181" i="20" s="1"/>
  <c r="R180" i="20" s="1"/>
  <c r="S183" i="20"/>
  <c r="S181" i="20" s="1"/>
  <c r="S180" i="20" s="1"/>
  <c r="T183" i="20"/>
  <c r="T181" i="20" s="1"/>
  <c r="T180" i="20" s="1"/>
  <c r="U183" i="20"/>
  <c r="U181" i="20" s="1"/>
  <c r="U180" i="20" s="1"/>
  <c r="V183" i="20"/>
  <c r="V181" i="20" s="1"/>
  <c r="V180" i="20" s="1"/>
  <c r="X183" i="20"/>
  <c r="X181" i="20" s="1"/>
  <c r="X180" i="20" s="1"/>
  <c r="Y183" i="20"/>
  <c r="Y181" i="20" s="1"/>
  <c r="Y180" i="20" s="1"/>
  <c r="Z183" i="20"/>
  <c r="Z181" i="20" s="1"/>
  <c r="Z180" i="20" s="1"/>
  <c r="AA183" i="20"/>
  <c r="AA181" i="20" s="1"/>
  <c r="AA180" i="20" s="1"/>
  <c r="K193" i="20"/>
  <c r="L193" i="20"/>
  <c r="M193" i="20"/>
  <c r="O193" i="20"/>
  <c r="P193" i="20"/>
  <c r="Q193" i="20"/>
  <c r="S193" i="20"/>
  <c r="T193" i="20"/>
  <c r="U193" i="20"/>
  <c r="V193" i="20"/>
  <c r="X193" i="20"/>
  <c r="Y193" i="20"/>
  <c r="Z193" i="20"/>
  <c r="AA193" i="20"/>
  <c r="K189" i="20"/>
  <c r="L189" i="20"/>
  <c r="M189" i="20"/>
  <c r="O189" i="20"/>
  <c r="P189" i="20"/>
  <c r="Q189" i="20"/>
  <c r="S189" i="20"/>
  <c r="T189" i="20"/>
  <c r="U189" i="20"/>
  <c r="V189" i="20"/>
  <c r="X189" i="20"/>
  <c r="Y189" i="20"/>
  <c r="Z189" i="20"/>
  <c r="AA189" i="20"/>
  <c r="K200" i="20"/>
  <c r="K199" i="20" s="1"/>
  <c r="K198" i="20" s="1"/>
  <c r="L200" i="20"/>
  <c r="L199" i="20" s="1"/>
  <c r="L198" i="20" s="1"/>
  <c r="M200" i="20"/>
  <c r="M199" i="20" s="1"/>
  <c r="M198" i="20" s="1"/>
  <c r="O200" i="20"/>
  <c r="O199" i="20" s="1"/>
  <c r="O198" i="20" s="1"/>
  <c r="P200" i="20"/>
  <c r="P199" i="20" s="1"/>
  <c r="P198" i="20" s="1"/>
  <c r="Q200" i="20"/>
  <c r="Q199" i="20" s="1"/>
  <c r="Q198" i="20" s="1"/>
  <c r="S200" i="20"/>
  <c r="S199" i="20" s="1"/>
  <c r="S198" i="20" s="1"/>
  <c r="T200" i="20"/>
  <c r="T199" i="20" s="1"/>
  <c r="T198" i="20" s="1"/>
  <c r="U200" i="20"/>
  <c r="U199" i="20" s="1"/>
  <c r="U198" i="20" s="1"/>
  <c r="V200" i="20"/>
  <c r="V199" i="20" s="1"/>
  <c r="V198" i="20" s="1"/>
  <c r="X200" i="20"/>
  <c r="X199" i="20" s="1"/>
  <c r="X198" i="20" s="1"/>
  <c r="Y200" i="20"/>
  <c r="Y199" i="20" s="1"/>
  <c r="Y198" i="20" s="1"/>
  <c r="Z200" i="20"/>
  <c r="Z199" i="20" s="1"/>
  <c r="Z198" i="20" s="1"/>
  <c r="AA200" i="20"/>
  <c r="AA199" i="20" s="1"/>
  <c r="AA198" i="20" s="1"/>
  <c r="K204" i="20"/>
  <c r="L204" i="20"/>
  <c r="M204" i="20"/>
  <c r="N204" i="20"/>
  <c r="O204" i="20"/>
  <c r="P204" i="20"/>
  <c r="Q204" i="20"/>
  <c r="Q203" i="20" s="1"/>
  <c r="Q202" i="20" s="1"/>
  <c r="R204" i="20"/>
  <c r="R203" i="20" s="1"/>
  <c r="R202" i="20" s="1"/>
  <c r="S204" i="20"/>
  <c r="T204" i="20"/>
  <c r="T203" i="20" s="1"/>
  <c r="T202" i="20" s="1"/>
  <c r="U204" i="20"/>
  <c r="V204" i="20"/>
  <c r="X204" i="20"/>
  <c r="Y204" i="20"/>
  <c r="Z204" i="20"/>
  <c r="AA204" i="20"/>
  <c r="W201" i="20"/>
  <c r="W205" i="20"/>
  <c r="W206" i="20"/>
  <c r="AC206" i="20" s="1"/>
  <c r="W207" i="20"/>
  <c r="AC207" i="20" s="1"/>
  <c r="K213" i="20"/>
  <c r="K211" i="20" s="1"/>
  <c r="K210" i="20" s="1"/>
  <c r="L213" i="20"/>
  <c r="L211" i="20" s="1"/>
  <c r="L210" i="20" s="1"/>
  <c r="M213" i="20"/>
  <c r="M211" i="20" s="1"/>
  <c r="M210" i="20" s="1"/>
  <c r="O213" i="20"/>
  <c r="O211" i="20" s="1"/>
  <c r="O210" i="20" s="1"/>
  <c r="P213" i="20"/>
  <c r="P211" i="20" s="1"/>
  <c r="P210" i="20" s="1"/>
  <c r="Q213" i="20"/>
  <c r="Q211" i="20" s="1"/>
  <c r="Q210" i="20" s="1"/>
  <c r="S213" i="20"/>
  <c r="S211" i="20" s="1"/>
  <c r="S210" i="20" s="1"/>
  <c r="T213" i="20"/>
  <c r="T211" i="20" s="1"/>
  <c r="T210" i="20" s="1"/>
  <c r="U213" i="20"/>
  <c r="U211" i="20" s="1"/>
  <c r="U210" i="20" s="1"/>
  <c r="V213" i="20"/>
  <c r="V211" i="20" s="1"/>
  <c r="V210" i="20" s="1"/>
  <c r="X213" i="20"/>
  <c r="X211" i="20" s="1"/>
  <c r="X210" i="20" s="1"/>
  <c r="Y213" i="20"/>
  <c r="Y211" i="20" s="1"/>
  <c r="Y210" i="20" s="1"/>
  <c r="Z213" i="20"/>
  <c r="Z211" i="20" s="1"/>
  <c r="Z210" i="20" s="1"/>
  <c r="AA213" i="20"/>
  <c r="AA211" i="20" s="1"/>
  <c r="AA210" i="20" s="1"/>
  <c r="K219" i="20"/>
  <c r="K217" i="20" s="1"/>
  <c r="K216" i="20" s="1"/>
  <c r="L219" i="20"/>
  <c r="L217" i="20" s="1"/>
  <c r="L216" i="20" s="1"/>
  <c r="M219" i="20"/>
  <c r="M217" i="20" s="1"/>
  <c r="M216" i="20" s="1"/>
  <c r="O219" i="20"/>
  <c r="O217" i="20" s="1"/>
  <c r="O216" i="20" s="1"/>
  <c r="P219" i="20"/>
  <c r="P217" i="20" s="1"/>
  <c r="P216" i="20" s="1"/>
  <c r="Q219" i="20"/>
  <c r="Q217" i="20" s="1"/>
  <c r="Q216" i="20" s="1"/>
  <c r="S219" i="20"/>
  <c r="S217" i="20" s="1"/>
  <c r="S216" i="20" s="1"/>
  <c r="T219" i="20"/>
  <c r="T217" i="20" s="1"/>
  <c r="T216" i="20" s="1"/>
  <c r="U219" i="20"/>
  <c r="U217" i="20" s="1"/>
  <c r="U216" i="20" s="1"/>
  <c r="V219" i="20"/>
  <c r="V217" i="20" s="1"/>
  <c r="V216" i="20" s="1"/>
  <c r="X219" i="20"/>
  <c r="X217" i="20" s="1"/>
  <c r="X216" i="20" s="1"/>
  <c r="Y219" i="20"/>
  <c r="Y217" i="20" s="1"/>
  <c r="Y216" i="20" s="1"/>
  <c r="Z219" i="20"/>
  <c r="Z217" i="20" s="1"/>
  <c r="Z216" i="20" s="1"/>
  <c r="AA219" i="20"/>
  <c r="AA217" i="20" s="1"/>
  <c r="AA216" i="20" s="1"/>
  <c r="K225" i="20"/>
  <c r="K223" i="20" s="1"/>
  <c r="K222" i="20" s="1"/>
  <c r="L225" i="20"/>
  <c r="L223" i="20" s="1"/>
  <c r="L222" i="20" s="1"/>
  <c r="M225" i="20"/>
  <c r="M223" i="20" s="1"/>
  <c r="M222" i="20" s="1"/>
  <c r="N225" i="20"/>
  <c r="N223" i="20" s="1"/>
  <c r="N222" i="20" s="1"/>
  <c r="O225" i="20"/>
  <c r="O223" i="20" s="1"/>
  <c r="O222" i="20" s="1"/>
  <c r="P225" i="20"/>
  <c r="P223" i="20" s="1"/>
  <c r="P222" i="20" s="1"/>
  <c r="Q225" i="20"/>
  <c r="Q223" i="20" s="1"/>
  <c r="Q222" i="20" s="1"/>
  <c r="R225" i="20"/>
  <c r="R223" i="20" s="1"/>
  <c r="R222" i="20" s="1"/>
  <c r="S225" i="20"/>
  <c r="S223" i="20" s="1"/>
  <c r="S222" i="20" s="1"/>
  <c r="T225" i="20"/>
  <c r="T223" i="20" s="1"/>
  <c r="T222" i="20" s="1"/>
  <c r="U225" i="20"/>
  <c r="U223" i="20" s="1"/>
  <c r="U222" i="20" s="1"/>
  <c r="V225" i="20"/>
  <c r="V223" i="20" s="1"/>
  <c r="V222" i="20" s="1"/>
  <c r="X225" i="20"/>
  <c r="X223" i="20" s="1"/>
  <c r="X222" i="20" s="1"/>
  <c r="Y225" i="20"/>
  <c r="Y223" i="20" s="1"/>
  <c r="Y222" i="20" s="1"/>
  <c r="Z225" i="20"/>
  <c r="Z223" i="20" s="1"/>
  <c r="Z222" i="20" s="1"/>
  <c r="AA225" i="20"/>
  <c r="AA223" i="20" s="1"/>
  <c r="AA222" i="20" s="1"/>
  <c r="W232" i="20"/>
  <c r="AC232" i="20" s="1"/>
  <c r="W233" i="20"/>
  <c r="AC233" i="20" s="1"/>
  <c r="W234" i="20"/>
  <c r="AC234" i="20" s="1"/>
  <c r="W235" i="20"/>
  <c r="AC235" i="20" s="1"/>
  <c r="W236" i="20"/>
  <c r="AC236" i="20" s="1"/>
  <c r="W237" i="20"/>
  <c r="AC237" i="20" s="1"/>
  <c r="W238" i="20"/>
  <c r="AC238" i="20" s="1"/>
  <c r="W239" i="20"/>
  <c r="AC239" i="20" s="1"/>
  <c r="K230" i="20"/>
  <c r="L230" i="20"/>
  <c r="M230" i="20"/>
  <c r="O230" i="20"/>
  <c r="P230" i="20"/>
  <c r="Q230" i="20"/>
  <c r="S230" i="20"/>
  <c r="T230" i="20"/>
  <c r="U230" i="20"/>
  <c r="V230" i="20"/>
  <c r="X230" i="20"/>
  <c r="Y230" i="20"/>
  <c r="Z230" i="20"/>
  <c r="AA230" i="20"/>
  <c r="K240" i="20"/>
  <c r="L240" i="20"/>
  <c r="M240" i="20"/>
  <c r="O240" i="20"/>
  <c r="P240" i="20"/>
  <c r="Q240" i="20"/>
  <c r="S240" i="20"/>
  <c r="T240" i="20"/>
  <c r="U240" i="20"/>
  <c r="X240" i="20"/>
  <c r="Y240" i="20"/>
  <c r="Z240" i="20"/>
  <c r="AA240" i="20"/>
  <c r="K247" i="20"/>
  <c r="K245" i="20" s="1"/>
  <c r="K244" i="20" s="1"/>
  <c r="L247" i="20"/>
  <c r="L245" i="20" s="1"/>
  <c r="L244" i="20" s="1"/>
  <c r="N247" i="20"/>
  <c r="N245" i="20" s="1"/>
  <c r="N244" i="20" s="1"/>
  <c r="O247" i="20"/>
  <c r="O245" i="20" s="1"/>
  <c r="O244" i="20" s="1"/>
  <c r="P247" i="20"/>
  <c r="P245" i="20" s="1"/>
  <c r="P244" i="20" s="1"/>
  <c r="Q247" i="20"/>
  <c r="Q245" i="20" s="1"/>
  <c r="Q244" i="20" s="1"/>
  <c r="S247" i="20"/>
  <c r="S245" i="20" s="1"/>
  <c r="S244" i="20" s="1"/>
  <c r="T247" i="20"/>
  <c r="T245" i="20" s="1"/>
  <c r="T244" i="20" s="1"/>
  <c r="U247" i="20"/>
  <c r="U245" i="20" s="1"/>
  <c r="U244" i="20" s="1"/>
  <c r="V247" i="20"/>
  <c r="V245" i="20" s="1"/>
  <c r="V244" i="20" s="1"/>
  <c r="X247" i="20"/>
  <c r="X245" i="20" s="1"/>
  <c r="X244" i="20" s="1"/>
  <c r="Y247" i="20"/>
  <c r="Y245" i="20" s="1"/>
  <c r="Y244" i="20" s="1"/>
  <c r="Z247" i="20"/>
  <c r="Z245" i="20" s="1"/>
  <c r="Z244" i="20" s="1"/>
  <c r="AA247" i="20"/>
  <c r="AA245" i="20" s="1"/>
  <c r="AA244" i="20" s="1"/>
  <c r="W254" i="20"/>
  <c r="K253" i="20"/>
  <c r="K251" i="20" s="1"/>
  <c r="K250" i="20" s="1"/>
  <c r="L253" i="20"/>
  <c r="L251" i="20" s="1"/>
  <c r="L250" i="20" s="1"/>
  <c r="M253" i="20"/>
  <c r="M251" i="20" s="1"/>
  <c r="M250" i="20" s="1"/>
  <c r="N253" i="20"/>
  <c r="N251" i="20" s="1"/>
  <c r="N250" i="20" s="1"/>
  <c r="O253" i="20"/>
  <c r="O251" i="20" s="1"/>
  <c r="O250" i="20" s="1"/>
  <c r="P253" i="20"/>
  <c r="P251" i="20" s="1"/>
  <c r="P250" i="20" s="1"/>
  <c r="Q253" i="20"/>
  <c r="Q251" i="20" s="1"/>
  <c r="Q250" i="20" s="1"/>
  <c r="R253" i="20"/>
  <c r="R251" i="20" s="1"/>
  <c r="R250" i="20" s="1"/>
  <c r="S253" i="20"/>
  <c r="S251" i="20" s="1"/>
  <c r="S250" i="20" s="1"/>
  <c r="T253" i="20"/>
  <c r="T251" i="20" s="1"/>
  <c r="T250" i="20" s="1"/>
  <c r="U253" i="20"/>
  <c r="U251" i="20" s="1"/>
  <c r="U250" i="20" s="1"/>
  <c r="V253" i="20"/>
  <c r="V251" i="20" s="1"/>
  <c r="V250" i="20" s="1"/>
  <c r="X253" i="20"/>
  <c r="X251" i="20" s="1"/>
  <c r="X250" i="20" s="1"/>
  <c r="Y253" i="20"/>
  <c r="Y251" i="20" s="1"/>
  <c r="Y250" i="20" s="1"/>
  <c r="Z253" i="20"/>
  <c r="Z251" i="20" s="1"/>
  <c r="Z250" i="20" s="1"/>
  <c r="AA253" i="20"/>
  <c r="AA251" i="20" s="1"/>
  <c r="AA250" i="20" s="1"/>
  <c r="W260" i="20"/>
  <c r="K259" i="20"/>
  <c r="K257" i="20" s="1"/>
  <c r="K256" i="20" s="1"/>
  <c r="L259" i="20"/>
  <c r="L257" i="20" s="1"/>
  <c r="L256" i="20" s="1"/>
  <c r="M259" i="20"/>
  <c r="M257" i="20" s="1"/>
  <c r="M256" i="20" s="1"/>
  <c r="N259" i="20"/>
  <c r="N257" i="20" s="1"/>
  <c r="N256" i="20" s="1"/>
  <c r="O259" i="20"/>
  <c r="O257" i="20" s="1"/>
  <c r="O256" i="20" s="1"/>
  <c r="P259" i="20"/>
  <c r="P257" i="20" s="1"/>
  <c r="P256" i="20" s="1"/>
  <c r="Q259" i="20"/>
  <c r="Q257" i="20" s="1"/>
  <c r="Q256" i="20" s="1"/>
  <c r="R259" i="20"/>
  <c r="R257" i="20" s="1"/>
  <c r="R256" i="20" s="1"/>
  <c r="S259" i="20"/>
  <c r="S257" i="20" s="1"/>
  <c r="S256" i="20" s="1"/>
  <c r="T259" i="20"/>
  <c r="T257" i="20" s="1"/>
  <c r="T256" i="20" s="1"/>
  <c r="U259" i="20"/>
  <c r="U257" i="20" s="1"/>
  <c r="U256" i="20" s="1"/>
  <c r="V259" i="20"/>
  <c r="V257" i="20" s="1"/>
  <c r="V256" i="20" s="1"/>
  <c r="X259" i="20"/>
  <c r="X257" i="20" s="1"/>
  <c r="X256" i="20" s="1"/>
  <c r="Y259" i="20"/>
  <c r="Y257" i="20" s="1"/>
  <c r="Y256" i="20" s="1"/>
  <c r="Z259" i="20"/>
  <c r="Z257" i="20" s="1"/>
  <c r="Z256" i="20" s="1"/>
  <c r="AA259" i="20"/>
  <c r="AA257" i="20" s="1"/>
  <c r="AA256" i="20" s="1"/>
  <c r="K265" i="20"/>
  <c r="K263" i="20" s="1"/>
  <c r="K262" i="20" s="1"/>
  <c r="L265" i="20"/>
  <c r="L263" i="20" s="1"/>
  <c r="L262" i="20" s="1"/>
  <c r="M265" i="20"/>
  <c r="M263" i="20" s="1"/>
  <c r="M262" i="20" s="1"/>
  <c r="N265" i="20"/>
  <c r="N263" i="20" s="1"/>
  <c r="N262" i="20" s="1"/>
  <c r="O265" i="20"/>
  <c r="O263" i="20" s="1"/>
  <c r="O262" i="20" s="1"/>
  <c r="P265" i="20"/>
  <c r="P263" i="20" s="1"/>
  <c r="P262" i="20" s="1"/>
  <c r="Q265" i="20"/>
  <c r="Q263" i="20" s="1"/>
  <c r="Q262" i="20" s="1"/>
  <c r="R265" i="20"/>
  <c r="R263" i="20" s="1"/>
  <c r="R262" i="20" s="1"/>
  <c r="S265" i="20"/>
  <c r="S263" i="20" s="1"/>
  <c r="S262" i="20" s="1"/>
  <c r="T265" i="20"/>
  <c r="T263" i="20" s="1"/>
  <c r="T262" i="20" s="1"/>
  <c r="U265" i="20"/>
  <c r="U263" i="20" s="1"/>
  <c r="U262" i="20" s="1"/>
  <c r="V265" i="20"/>
  <c r="V263" i="20" s="1"/>
  <c r="V262" i="20" s="1"/>
  <c r="X265" i="20"/>
  <c r="X263" i="20" s="1"/>
  <c r="X262" i="20" s="1"/>
  <c r="Y265" i="20"/>
  <c r="Y263" i="20" s="1"/>
  <c r="Y262" i="20" s="1"/>
  <c r="Z265" i="20"/>
  <c r="Z263" i="20" s="1"/>
  <c r="Z262" i="20" s="1"/>
  <c r="AA265" i="20"/>
  <c r="AA263" i="20" s="1"/>
  <c r="AA262" i="20" s="1"/>
  <c r="K270" i="20"/>
  <c r="K269" i="20" s="1"/>
  <c r="K268" i="20" s="1"/>
  <c r="L270" i="20"/>
  <c r="L269" i="20" s="1"/>
  <c r="L268" i="20" s="1"/>
  <c r="M270" i="20"/>
  <c r="M269" i="20" s="1"/>
  <c r="M268" i="20" s="1"/>
  <c r="N270" i="20"/>
  <c r="N269" i="20" s="1"/>
  <c r="N268" i="20" s="1"/>
  <c r="O270" i="20"/>
  <c r="O269" i="20" s="1"/>
  <c r="O268" i="20" s="1"/>
  <c r="P270" i="20"/>
  <c r="P269" i="20" s="1"/>
  <c r="P268" i="20" s="1"/>
  <c r="Q270" i="20"/>
  <c r="Q269" i="20" s="1"/>
  <c r="Q268" i="20" s="1"/>
  <c r="R270" i="20"/>
  <c r="R269" i="20" s="1"/>
  <c r="R268" i="20" s="1"/>
  <c r="S270" i="20"/>
  <c r="S269" i="20" s="1"/>
  <c r="S268" i="20" s="1"/>
  <c r="T270" i="20"/>
  <c r="T269" i="20" s="1"/>
  <c r="T268" i="20" s="1"/>
  <c r="U270" i="20"/>
  <c r="U269" i="20" s="1"/>
  <c r="U268" i="20" s="1"/>
  <c r="V270" i="20"/>
  <c r="V269" i="20" s="1"/>
  <c r="V268" i="20" s="1"/>
  <c r="W270" i="20"/>
  <c r="X270" i="20"/>
  <c r="X269" i="20" s="1"/>
  <c r="X268" i="20" s="1"/>
  <c r="Y270" i="20"/>
  <c r="Y269" i="20" s="1"/>
  <c r="Y268" i="20" s="1"/>
  <c r="Z270" i="20"/>
  <c r="Z269" i="20" s="1"/>
  <c r="Z268" i="20" s="1"/>
  <c r="AA270" i="20"/>
  <c r="AA269" i="20" s="1"/>
  <c r="AA268" i="20" s="1"/>
  <c r="K275" i="20"/>
  <c r="K273" i="20" s="1"/>
  <c r="K272" i="20" s="1"/>
  <c r="L275" i="20"/>
  <c r="L273" i="20" s="1"/>
  <c r="L272" i="20" s="1"/>
  <c r="M275" i="20"/>
  <c r="M273" i="20" s="1"/>
  <c r="M272" i="20" s="1"/>
  <c r="N275" i="20"/>
  <c r="N273" i="20" s="1"/>
  <c r="N272" i="20" s="1"/>
  <c r="O275" i="20"/>
  <c r="O273" i="20" s="1"/>
  <c r="O272" i="20" s="1"/>
  <c r="P275" i="20"/>
  <c r="P273" i="20" s="1"/>
  <c r="P272" i="20" s="1"/>
  <c r="Q275" i="20"/>
  <c r="Q273" i="20" s="1"/>
  <c r="Q272" i="20" s="1"/>
  <c r="S275" i="20"/>
  <c r="S273" i="20" s="1"/>
  <c r="S272" i="20" s="1"/>
  <c r="T275" i="20"/>
  <c r="T273" i="20" s="1"/>
  <c r="T272" i="20" s="1"/>
  <c r="U275" i="20"/>
  <c r="U273" i="20" s="1"/>
  <c r="U272" i="20" s="1"/>
  <c r="V275" i="20"/>
  <c r="V273" i="20" s="1"/>
  <c r="V272" i="20" s="1"/>
  <c r="W275" i="20"/>
  <c r="X275" i="20"/>
  <c r="X273" i="20" s="1"/>
  <c r="X272" i="20" s="1"/>
  <c r="Y275" i="20"/>
  <c r="Y273" i="20" s="1"/>
  <c r="Y272" i="20" s="1"/>
  <c r="Z275" i="20"/>
  <c r="Z273" i="20" s="1"/>
  <c r="Z272" i="20" s="1"/>
  <c r="AA275" i="20"/>
  <c r="AA273" i="20" s="1"/>
  <c r="AA272" i="20" s="1"/>
  <c r="K284" i="20"/>
  <c r="K282" i="20" s="1"/>
  <c r="K281" i="20" s="1"/>
  <c r="K280" i="20" s="1"/>
  <c r="L284" i="20"/>
  <c r="L282" i="20" s="1"/>
  <c r="L281" i="20" s="1"/>
  <c r="L280" i="20" s="1"/>
  <c r="M284" i="20"/>
  <c r="M282" i="20" s="1"/>
  <c r="M281" i="20" s="1"/>
  <c r="M280" i="20" s="1"/>
  <c r="N284" i="20"/>
  <c r="N282" i="20" s="1"/>
  <c r="N281" i="20" s="1"/>
  <c r="N280" i="20" s="1"/>
  <c r="O284" i="20"/>
  <c r="O282" i="20" s="1"/>
  <c r="O281" i="20" s="1"/>
  <c r="O280" i="20" s="1"/>
  <c r="P284" i="20"/>
  <c r="P282" i="20" s="1"/>
  <c r="P281" i="20" s="1"/>
  <c r="P280" i="20" s="1"/>
  <c r="Q284" i="20"/>
  <c r="Q282" i="20" s="1"/>
  <c r="Q281" i="20" s="1"/>
  <c r="Q280" i="20" s="1"/>
  <c r="R284" i="20"/>
  <c r="R282" i="20" s="1"/>
  <c r="R281" i="20" s="1"/>
  <c r="R280" i="20" s="1"/>
  <c r="S284" i="20"/>
  <c r="S282" i="20" s="1"/>
  <c r="S281" i="20" s="1"/>
  <c r="S280" i="20" s="1"/>
  <c r="T284" i="20"/>
  <c r="T282" i="20" s="1"/>
  <c r="T281" i="20" s="1"/>
  <c r="T280" i="20" s="1"/>
  <c r="U284" i="20"/>
  <c r="U282" i="20" s="1"/>
  <c r="U281" i="20" s="1"/>
  <c r="U280" i="20" s="1"/>
  <c r="V284" i="20"/>
  <c r="V282" i="20" s="1"/>
  <c r="V281" i="20" s="1"/>
  <c r="V280" i="20" s="1"/>
  <c r="X284" i="20"/>
  <c r="X282" i="20" s="1"/>
  <c r="X281" i="20" s="1"/>
  <c r="X280" i="20" s="1"/>
  <c r="Y284" i="20"/>
  <c r="Y282" i="20" s="1"/>
  <c r="Y281" i="20" s="1"/>
  <c r="Y280" i="20" s="1"/>
  <c r="Z284" i="20"/>
  <c r="Z282" i="20" s="1"/>
  <c r="Z281" i="20" s="1"/>
  <c r="Z280" i="20" s="1"/>
  <c r="AA284" i="20"/>
  <c r="AA282" i="20" s="1"/>
  <c r="AA281" i="20" s="1"/>
  <c r="AA280" i="20" s="1"/>
  <c r="K291" i="20"/>
  <c r="K289" i="20" s="1"/>
  <c r="K288" i="20" s="1"/>
  <c r="L291" i="20"/>
  <c r="L289" i="20" s="1"/>
  <c r="L288" i="20" s="1"/>
  <c r="M291" i="20"/>
  <c r="M289" i="20" s="1"/>
  <c r="M288" i="20" s="1"/>
  <c r="O291" i="20"/>
  <c r="O289" i="20" s="1"/>
  <c r="O288" i="20" s="1"/>
  <c r="P291" i="20"/>
  <c r="P289" i="20" s="1"/>
  <c r="P288" i="20" s="1"/>
  <c r="S291" i="20"/>
  <c r="S289" i="20" s="1"/>
  <c r="S288" i="20" s="1"/>
  <c r="T291" i="20"/>
  <c r="T289" i="20" s="1"/>
  <c r="T288" i="20" s="1"/>
  <c r="V291" i="20"/>
  <c r="V289" i="20" s="1"/>
  <c r="V288" i="20" s="1"/>
  <c r="X291" i="20"/>
  <c r="X289" i="20" s="1"/>
  <c r="X288" i="20" s="1"/>
  <c r="Y291" i="20"/>
  <c r="Y289" i="20" s="1"/>
  <c r="Y288" i="20" s="1"/>
  <c r="Z291" i="20"/>
  <c r="Z289" i="20" s="1"/>
  <c r="Z288" i="20" s="1"/>
  <c r="AA291" i="20"/>
  <c r="AA289" i="20" s="1"/>
  <c r="AA288" i="20" s="1"/>
  <c r="K298" i="20"/>
  <c r="K295" i="20" s="1"/>
  <c r="K294" i="20" s="1"/>
  <c r="M298" i="20"/>
  <c r="M295" i="20" s="1"/>
  <c r="M294" i="20" s="1"/>
  <c r="N298" i="20"/>
  <c r="N295" i="20" s="1"/>
  <c r="N294" i="20" s="1"/>
  <c r="O298" i="20"/>
  <c r="O295" i="20" s="1"/>
  <c r="O294" i="20" s="1"/>
  <c r="P298" i="20"/>
  <c r="P295" i="20" s="1"/>
  <c r="P294" i="20" s="1"/>
  <c r="Q298" i="20"/>
  <c r="Q295" i="20" s="1"/>
  <c r="Q294" i="20" s="1"/>
  <c r="R298" i="20"/>
  <c r="R295" i="20" s="1"/>
  <c r="R294" i="20" s="1"/>
  <c r="S298" i="20"/>
  <c r="S295" i="20" s="1"/>
  <c r="S294" i="20" s="1"/>
  <c r="T298" i="20"/>
  <c r="T295" i="20" s="1"/>
  <c r="T294" i="20" s="1"/>
  <c r="U298" i="20"/>
  <c r="U295" i="20" s="1"/>
  <c r="U294" i="20" s="1"/>
  <c r="V298" i="20"/>
  <c r="V295" i="20" s="1"/>
  <c r="V294" i="20" s="1"/>
  <c r="X298" i="20"/>
  <c r="X295" i="20" s="1"/>
  <c r="X294" i="20" s="1"/>
  <c r="Y298" i="20"/>
  <c r="Y295" i="20" s="1"/>
  <c r="Y294" i="20" s="1"/>
  <c r="Z298" i="20"/>
  <c r="Z295" i="20" s="1"/>
  <c r="Z294" i="20" s="1"/>
  <c r="AA298" i="20"/>
  <c r="AA295" i="20" s="1"/>
  <c r="AA294" i="20" s="1"/>
  <c r="K303" i="20"/>
  <c r="K301" i="20" s="1"/>
  <c r="K300" i="20" s="1"/>
  <c r="L303" i="20"/>
  <c r="L301" i="20" s="1"/>
  <c r="L300" i="20" s="1"/>
  <c r="M303" i="20"/>
  <c r="M301" i="20" s="1"/>
  <c r="M300" i="20" s="1"/>
  <c r="N303" i="20"/>
  <c r="N301" i="20" s="1"/>
  <c r="N300" i="20" s="1"/>
  <c r="O303" i="20"/>
  <c r="O301" i="20" s="1"/>
  <c r="O300" i="20" s="1"/>
  <c r="P303" i="20"/>
  <c r="P301" i="20" s="1"/>
  <c r="P300" i="20" s="1"/>
  <c r="Q303" i="20"/>
  <c r="Q301" i="20" s="1"/>
  <c r="Q300" i="20" s="1"/>
  <c r="R303" i="20"/>
  <c r="R301" i="20" s="1"/>
  <c r="R300" i="20" s="1"/>
  <c r="S303" i="20"/>
  <c r="S301" i="20" s="1"/>
  <c r="S300" i="20" s="1"/>
  <c r="T303" i="20"/>
  <c r="T301" i="20" s="1"/>
  <c r="T300" i="20" s="1"/>
  <c r="U303" i="20"/>
  <c r="U301" i="20" s="1"/>
  <c r="U300" i="20" s="1"/>
  <c r="V303" i="20"/>
  <c r="V301" i="20" s="1"/>
  <c r="V300" i="20" s="1"/>
  <c r="X303" i="20"/>
  <c r="X301" i="20" s="1"/>
  <c r="X300" i="20" s="1"/>
  <c r="Y303" i="20"/>
  <c r="Y301" i="20" s="1"/>
  <c r="Y300" i="20" s="1"/>
  <c r="Z303" i="20"/>
  <c r="Z301" i="20" s="1"/>
  <c r="Z300" i="20" s="1"/>
  <c r="AA303" i="20"/>
  <c r="AA301" i="20" s="1"/>
  <c r="AA300" i="20" s="1"/>
  <c r="K310" i="20"/>
  <c r="K308" i="20" s="1"/>
  <c r="K307" i="20" s="1"/>
  <c r="L310" i="20"/>
  <c r="L308" i="20" s="1"/>
  <c r="L307" i="20" s="1"/>
  <c r="M310" i="20"/>
  <c r="M308" i="20" s="1"/>
  <c r="M307" i="20" s="1"/>
  <c r="O310" i="20"/>
  <c r="O308" i="20" s="1"/>
  <c r="O307" i="20" s="1"/>
  <c r="P310" i="20"/>
  <c r="P308" i="20" s="1"/>
  <c r="P307" i="20" s="1"/>
  <c r="Q310" i="20"/>
  <c r="Q308" i="20" s="1"/>
  <c r="Q307" i="20" s="1"/>
  <c r="S310" i="20"/>
  <c r="S308" i="20" s="1"/>
  <c r="S307" i="20" s="1"/>
  <c r="T310" i="20"/>
  <c r="T308" i="20" s="1"/>
  <c r="T307" i="20" s="1"/>
  <c r="U310" i="20"/>
  <c r="U308" i="20" s="1"/>
  <c r="U307" i="20" s="1"/>
  <c r="V310" i="20"/>
  <c r="V308" i="20" s="1"/>
  <c r="V307" i="20" s="1"/>
  <c r="X310" i="20"/>
  <c r="X308" i="20" s="1"/>
  <c r="X307" i="20" s="1"/>
  <c r="Y310" i="20"/>
  <c r="Y308" i="20" s="1"/>
  <c r="Y307" i="20" s="1"/>
  <c r="Z310" i="20"/>
  <c r="Z308" i="20" s="1"/>
  <c r="Z307" i="20" s="1"/>
  <c r="AA310" i="20"/>
  <c r="AA308" i="20" s="1"/>
  <c r="AA307" i="20" s="1"/>
  <c r="W319" i="20"/>
  <c r="AC319" i="20" s="1"/>
  <c r="W320" i="20"/>
  <c r="AC320" i="20" s="1"/>
  <c r="W321" i="20"/>
  <c r="AC321" i="20" s="1"/>
  <c r="O317" i="20"/>
  <c r="O315" i="20" s="1"/>
  <c r="O314" i="20" s="1"/>
  <c r="P317" i="20"/>
  <c r="P315" i="20" s="1"/>
  <c r="P314" i="20" s="1"/>
  <c r="Q317" i="20"/>
  <c r="Q315" i="20" s="1"/>
  <c r="Q314" i="20" s="1"/>
  <c r="S317" i="20"/>
  <c r="S315" i="20" s="1"/>
  <c r="S314" i="20" s="1"/>
  <c r="T317" i="20"/>
  <c r="T315" i="20" s="1"/>
  <c r="T314" i="20" s="1"/>
  <c r="U317" i="20"/>
  <c r="U315" i="20" s="1"/>
  <c r="U314" i="20" s="1"/>
  <c r="X317" i="20"/>
  <c r="X315" i="20" s="1"/>
  <c r="X314" i="20" s="1"/>
  <c r="Y317" i="20"/>
  <c r="Y315" i="20" s="1"/>
  <c r="Y314" i="20" s="1"/>
  <c r="Z317" i="20"/>
  <c r="Z315" i="20" s="1"/>
  <c r="Z314" i="20" s="1"/>
  <c r="AA317" i="20"/>
  <c r="AA315" i="20" s="1"/>
  <c r="AA314" i="20" s="1"/>
  <c r="W328" i="20"/>
  <c r="AC328" i="20" s="1"/>
  <c r="W327" i="20"/>
  <c r="K326" i="20"/>
  <c r="K324" i="20" s="1"/>
  <c r="K323" i="20" s="1"/>
  <c r="L326" i="20"/>
  <c r="L324" i="20" s="1"/>
  <c r="L323" i="20" s="1"/>
  <c r="M326" i="20"/>
  <c r="M324" i="20" s="1"/>
  <c r="M323" i="20" s="1"/>
  <c r="P326" i="20"/>
  <c r="P324" i="20" s="1"/>
  <c r="P323" i="20" s="1"/>
  <c r="Q326" i="20"/>
  <c r="Q324" i="20" s="1"/>
  <c r="Q323" i="20" s="1"/>
  <c r="S326" i="20"/>
  <c r="S324" i="20" s="1"/>
  <c r="S323" i="20" s="1"/>
  <c r="T326" i="20"/>
  <c r="T324" i="20" s="1"/>
  <c r="T323" i="20" s="1"/>
  <c r="U326" i="20"/>
  <c r="U324" i="20" s="1"/>
  <c r="U323" i="20" s="1"/>
  <c r="V326" i="20"/>
  <c r="V324" i="20" s="1"/>
  <c r="V323" i="20" s="1"/>
  <c r="X326" i="20"/>
  <c r="X324" i="20" s="1"/>
  <c r="X323" i="20" s="1"/>
  <c r="Y326" i="20"/>
  <c r="Y324" i="20" s="1"/>
  <c r="Y323" i="20" s="1"/>
  <c r="Z326" i="20"/>
  <c r="Z324" i="20" s="1"/>
  <c r="Z323" i="20" s="1"/>
  <c r="AA326" i="20"/>
  <c r="AA324" i="20" s="1"/>
  <c r="AA323" i="20" s="1"/>
  <c r="K332" i="20"/>
  <c r="L332" i="20"/>
  <c r="M332" i="20"/>
  <c r="N332" i="20"/>
  <c r="O332" i="20"/>
  <c r="P332" i="20"/>
  <c r="Q332" i="20"/>
  <c r="R332" i="20"/>
  <c r="S332" i="20"/>
  <c r="T332" i="20"/>
  <c r="U332" i="20"/>
  <c r="V332" i="20"/>
  <c r="X332" i="20"/>
  <c r="Y332" i="20"/>
  <c r="Z332" i="20"/>
  <c r="AA332" i="20"/>
  <c r="S334" i="20"/>
  <c r="K343" i="20"/>
  <c r="K341" i="20" s="1"/>
  <c r="K340" i="20" s="1"/>
  <c r="L343" i="20"/>
  <c r="L341" i="20" s="1"/>
  <c r="L340" i="20" s="1"/>
  <c r="O343" i="20"/>
  <c r="O341" i="20" s="1"/>
  <c r="O340" i="20" s="1"/>
  <c r="P343" i="20"/>
  <c r="P341" i="20" s="1"/>
  <c r="P340" i="20" s="1"/>
  <c r="Q343" i="20"/>
  <c r="Q341" i="20" s="1"/>
  <c r="Q340" i="20" s="1"/>
  <c r="S343" i="20"/>
  <c r="S341" i="20" s="1"/>
  <c r="S340" i="20" s="1"/>
  <c r="T343" i="20"/>
  <c r="T341" i="20" s="1"/>
  <c r="T340" i="20" s="1"/>
  <c r="U343" i="20"/>
  <c r="U341" i="20" s="1"/>
  <c r="U340" i="20" s="1"/>
  <c r="V343" i="20"/>
  <c r="V341" i="20" s="1"/>
  <c r="V340" i="20" s="1"/>
  <c r="X343" i="20"/>
  <c r="X341" i="20" s="1"/>
  <c r="X340" i="20" s="1"/>
  <c r="Y343" i="20"/>
  <c r="Y341" i="20" s="1"/>
  <c r="Y340" i="20" s="1"/>
  <c r="Z343" i="20"/>
  <c r="Z341" i="20" s="1"/>
  <c r="Z340" i="20" s="1"/>
  <c r="AA343" i="20"/>
  <c r="AA341" i="20" s="1"/>
  <c r="AA340" i="20" s="1"/>
  <c r="K350" i="20"/>
  <c r="K348" i="20" s="1"/>
  <c r="K347" i="20" s="1"/>
  <c r="L350" i="20"/>
  <c r="L348" i="20" s="1"/>
  <c r="L347" i="20" s="1"/>
  <c r="M350" i="20"/>
  <c r="M348" i="20" s="1"/>
  <c r="M347" i="20" s="1"/>
  <c r="N350" i="20"/>
  <c r="N348" i="20" s="1"/>
  <c r="N347" i="20" s="1"/>
  <c r="O350" i="20"/>
  <c r="O348" i="20" s="1"/>
  <c r="O347" i="20" s="1"/>
  <c r="P350" i="20"/>
  <c r="P348" i="20" s="1"/>
  <c r="P347" i="20" s="1"/>
  <c r="Q350" i="20"/>
  <c r="Q348" i="20" s="1"/>
  <c r="Q347" i="20" s="1"/>
  <c r="S350" i="20"/>
  <c r="S348" i="20" s="1"/>
  <c r="S347" i="20" s="1"/>
  <c r="T350" i="20"/>
  <c r="T348" i="20" s="1"/>
  <c r="T347" i="20" s="1"/>
  <c r="V350" i="20"/>
  <c r="V348" i="20" s="1"/>
  <c r="V347" i="20" s="1"/>
  <c r="X350" i="20"/>
  <c r="X348" i="20" s="1"/>
  <c r="X347" i="20" s="1"/>
  <c r="Y350" i="20"/>
  <c r="Y348" i="20" s="1"/>
  <c r="Y347" i="20" s="1"/>
  <c r="Z350" i="20"/>
  <c r="Z348" i="20" s="1"/>
  <c r="Z347" i="20" s="1"/>
  <c r="AA350" i="20"/>
  <c r="AA348" i="20" s="1"/>
  <c r="AA347" i="20" s="1"/>
  <c r="K356" i="20"/>
  <c r="K354" i="20" s="1"/>
  <c r="K353" i="20" s="1"/>
  <c r="L356" i="20"/>
  <c r="L354" i="20" s="1"/>
  <c r="L353" i="20" s="1"/>
  <c r="M356" i="20"/>
  <c r="M354" i="20" s="1"/>
  <c r="M353" i="20" s="1"/>
  <c r="N356" i="20"/>
  <c r="N354" i="20" s="1"/>
  <c r="N353" i="20" s="1"/>
  <c r="O356" i="20"/>
  <c r="O354" i="20" s="1"/>
  <c r="O353" i="20" s="1"/>
  <c r="P356" i="20"/>
  <c r="P354" i="20" s="1"/>
  <c r="P353" i="20" s="1"/>
  <c r="Q356" i="20"/>
  <c r="Q354" i="20" s="1"/>
  <c r="Q353" i="20" s="1"/>
  <c r="R356" i="20"/>
  <c r="R354" i="20" s="1"/>
  <c r="R353" i="20" s="1"/>
  <c r="S356" i="20"/>
  <c r="S354" i="20" s="1"/>
  <c r="S353" i="20" s="1"/>
  <c r="T356" i="20"/>
  <c r="T354" i="20" s="1"/>
  <c r="T353" i="20" s="1"/>
  <c r="U356" i="20"/>
  <c r="U354" i="20" s="1"/>
  <c r="U353" i="20" s="1"/>
  <c r="V356" i="20"/>
  <c r="V354" i="20" s="1"/>
  <c r="V353" i="20" s="1"/>
  <c r="X356" i="20"/>
  <c r="X354" i="20" s="1"/>
  <c r="X353" i="20" s="1"/>
  <c r="Y356" i="20"/>
  <c r="Y354" i="20" s="1"/>
  <c r="Y353" i="20" s="1"/>
  <c r="Z356" i="20"/>
  <c r="Z354" i="20" s="1"/>
  <c r="Z353" i="20" s="1"/>
  <c r="AA356" i="20"/>
  <c r="AA354" i="20" s="1"/>
  <c r="AA353" i="20" s="1"/>
  <c r="K362" i="20"/>
  <c r="K360" i="20" s="1"/>
  <c r="K359" i="20" s="1"/>
  <c r="L362" i="20"/>
  <c r="L360" i="20" s="1"/>
  <c r="L359" i="20" s="1"/>
  <c r="M362" i="20"/>
  <c r="M360" i="20" s="1"/>
  <c r="M359" i="20" s="1"/>
  <c r="O362" i="20"/>
  <c r="O360" i="20" s="1"/>
  <c r="O359" i="20" s="1"/>
  <c r="P362" i="20"/>
  <c r="P360" i="20" s="1"/>
  <c r="P359" i="20" s="1"/>
  <c r="Q362" i="20"/>
  <c r="Q360" i="20" s="1"/>
  <c r="Q359" i="20" s="1"/>
  <c r="S362" i="20"/>
  <c r="S360" i="20" s="1"/>
  <c r="S359" i="20" s="1"/>
  <c r="T362" i="20"/>
  <c r="T360" i="20" s="1"/>
  <c r="T359" i="20" s="1"/>
  <c r="U362" i="20"/>
  <c r="U360" i="20" s="1"/>
  <c r="U359" i="20" s="1"/>
  <c r="V362" i="20"/>
  <c r="V360" i="20" s="1"/>
  <c r="V359" i="20" s="1"/>
  <c r="X362" i="20"/>
  <c r="X360" i="20" s="1"/>
  <c r="X359" i="20" s="1"/>
  <c r="Y362" i="20"/>
  <c r="Y360" i="20" s="1"/>
  <c r="Y359" i="20" s="1"/>
  <c r="Z362" i="20"/>
  <c r="Z360" i="20" s="1"/>
  <c r="Z359" i="20" s="1"/>
  <c r="AA362" i="20"/>
  <c r="AA360" i="20" s="1"/>
  <c r="AA359" i="20" s="1"/>
  <c r="K368" i="20"/>
  <c r="K366" i="20" s="1"/>
  <c r="K365" i="20" s="1"/>
  <c r="L368" i="20"/>
  <c r="L366" i="20" s="1"/>
  <c r="L365" i="20" s="1"/>
  <c r="M368" i="20"/>
  <c r="M366" i="20" s="1"/>
  <c r="M365" i="20" s="1"/>
  <c r="O368" i="20"/>
  <c r="O366" i="20" s="1"/>
  <c r="O365" i="20" s="1"/>
  <c r="P368" i="20"/>
  <c r="P366" i="20" s="1"/>
  <c r="P365" i="20" s="1"/>
  <c r="Q368" i="20"/>
  <c r="Q366" i="20" s="1"/>
  <c r="Q365" i="20" s="1"/>
  <c r="S368" i="20"/>
  <c r="S366" i="20" s="1"/>
  <c r="S365" i="20" s="1"/>
  <c r="T368" i="20"/>
  <c r="T366" i="20" s="1"/>
  <c r="T365" i="20" s="1"/>
  <c r="V368" i="20"/>
  <c r="V366" i="20" s="1"/>
  <c r="V365" i="20" s="1"/>
  <c r="X368" i="20"/>
  <c r="X366" i="20" s="1"/>
  <c r="X365" i="20" s="1"/>
  <c r="Y368" i="20"/>
  <c r="Y366" i="20" s="1"/>
  <c r="Y365" i="20" s="1"/>
  <c r="Z368" i="20"/>
  <c r="Z366" i="20" s="1"/>
  <c r="Z365" i="20" s="1"/>
  <c r="AA368" i="20"/>
  <c r="AA366" i="20" s="1"/>
  <c r="AA365" i="20" s="1"/>
  <c r="K374" i="20"/>
  <c r="K372" i="20" s="1"/>
  <c r="K371" i="20" s="1"/>
  <c r="L374" i="20"/>
  <c r="L372" i="20" s="1"/>
  <c r="L371" i="20" s="1"/>
  <c r="M374" i="20"/>
  <c r="M372" i="20" s="1"/>
  <c r="M371" i="20" s="1"/>
  <c r="O374" i="20"/>
  <c r="O372" i="20" s="1"/>
  <c r="O371" i="20" s="1"/>
  <c r="P374" i="20"/>
  <c r="P372" i="20" s="1"/>
  <c r="P371" i="20" s="1"/>
  <c r="Q374" i="20"/>
  <c r="Q372" i="20" s="1"/>
  <c r="Q371" i="20" s="1"/>
  <c r="S374" i="20"/>
  <c r="S372" i="20" s="1"/>
  <c r="S371" i="20" s="1"/>
  <c r="T374" i="20"/>
  <c r="T372" i="20" s="1"/>
  <c r="T371" i="20" s="1"/>
  <c r="U374" i="20"/>
  <c r="U372" i="20" s="1"/>
  <c r="U371" i="20" s="1"/>
  <c r="V374" i="20"/>
  <c r="V372" i="20" s="1"/>
  <c r="V371" i="20" s="1"/>
  <c r="X374" i="20"/>
  <c r="X372" i="20" s="1"/>
  <c r="X371" i="20" s="1"/>
  <c r="Y374" i="20"/>
  <c r="Y372" i="20" s="1"/>
  <c r="Y371" i="20" s="1"/>
  <c r="Z374" i="20"/>
  <c r="Z372" i="20" s="1"/>
  <c r="Z371" i="20" s="1"/>
  <c r="AA374" i="20"/>
  <c r="AA372" i="20" s="1"/>
  <c r="AA371" i="20" s="1"/>
  <c r="K380" i="20"/>
  <c r="K378" i="20" s="1"/>
  <c r="K377" i="20" s="1"/>
  <c r="L380" i="20"/>
  <c r="L378" i="20" s="1"/>
  <c r="L377" i="20" s="1"/>
  <c r="M380" i="20"/>
  <c r="M378" i="20" s="1"/>
  <c r="M377" i="20" s="1"/>
  <c r="O380" i="20"/>
  <c r="O378" i="20" s="1"/>
  <c r="O377" i="20" s="1"/>
  <c r="P380" i="20"/>
  <c r="P378" i="20" s="1"/>
  <c r="P377" i="20" s="1"/>
  <c r="Q380" i="20"/>
  <c r="Q378" i="20" s="1"/>
  <c r="Q377" i="20" s="1"/>
  <c r="S380" i="20"/>
  <c r="S378" i="20" s="1"/>
  <c r="S377" i="20" s="1"/>
  <c r="T380" i="20"/>
  <c r="T378" i="20" s="1"/>
  <c r="T377" i="20" s="1"/>
  <c r="V380" i="20"/>
  <c r="V378" i="20" s="1"/>
  <c r="V377" i="20" s="1"/>
  <c r="X380" i="20"/>
  <c r="X378" i="20" s="1"/>
  <c r="X377" i="20" s="1"/>
  <c r="Y380" i="20"/>
  <c r="Y378" i="20" s="1"/>
  <c r="Y377" i="20" s="1"/>
  <c r="Z380" i="20"/>
  <c r="Z378" i="20" s="1"/>
  <c r="Z377" i="20" s="1"/>
  <c r="AA380" i="20"/>
  <c r="AA378" i="20" s="1"/>
  <c r="AA377" i="20" s="1"/>
  <c r="K387" i="20"/>
  <c r="K386" i="20" s="1"/>
  <c r="K384" i="20" s="1"/>
  <c r="K383" i="20" s="1"/>
  <c r="L387" i="20"/>
  <c r="L386" i="20" s="1"/>
  <c r="L384" i="20" s="1"/>
  <c r="L383" i="20" s="1"/>
  <c r="M387" i="20"/>
  <c r="M386" i="20" s="1"/>
  <c r="M384" i="20" s="1"/>
  <c r="M383" i="20" s="1"/>
  <c r="N387" i="20"/>
  <c r="N386" i="20" s="1"/>
  <c r="N384" i="20" s="1"/>
  <c r="N383" i="20" s="1"/>
  <c r="O387" i="20"/>
  <c r="O386" i="20" s="1"/>
  <c r="O384" i="20" s="1"/>
  <c r="O383" i="20" s="1"/>
  <c r="P387" i="20"/>
  <c r="P386" i="20" s="1"/>
  <c r="P384" i="20" s="1"/>
  <c r="P383" i="20" s="1"/>
  <c r="Q387" i="20"/>
  <c r="Q386" i="20" s="1"/>
  <c r="Q384" i="20" s="1"/>
  <c r="Q383" i="20" s="1"/>
  <c r="R387" i="20"/>
  <c r="R386" i="20" s="1"/>
  <c r="R384" i="20" s="1"/>
  <c r="R383" i="20" s="1"/>
  <c r="S387" i="20"/>
  <c r="S386" i="20" s="1"/>
  <c r="S384" i="20" s="1"/>
  <c r="S383" i="20" s="1"/>
  <c r="T387" i="20"/>
  <c r="T386" i="20" s="1"/>
  <c r="T384" i="20" s="1"/>
  <c r="T383" i="20" s="1"/>
  <c r="U387" i="20"/>
  <c r="U386" i="20" s="1"/>
  <c r="U384" i="20" s="1"/>
  <c r="U383" i="20" s="1"/>
  <c r="V387" i="20"/>
  <c r="V386" i="20" s="1"/>
  <c r="V384" i="20" s="1"/>
  <c r="V383" i="20" s="1"/>
  <c r="X387" i="20"/>
  <c r="X386" i="20" s="1"/>
  <c r="X384" i="20" s="1"/>
  <c r="X383" i="20" s="1"/>
  <c r="Y387" i="20"/>
  <c r="Y386" i="20" s="1"/>
  <c r="Y384" i="20" s="1"/>
  <c r="Y383" i="20" s="1"/>
  <c r="Z387" i="20"/>
  <c r="Z386" i="20" s="1"/>
  <c r="Z384" i="20" s="1"/>
  <c r="Z383" i="20" s="1"/>
  <c r="AA387" i="20"/>
  <c r="AA386" i="20" s="1"/>
  <c r="AA384" i="20" s="1"/>
  <c r="AA383" i="20" s="1"/>
  <c r="K396" i="20"/>
  <c r="K395" i="20" s="1"/>
  <c r="K393" i="20" s="1"/>
  <c r="K392" i="20" s="1"/>
  <c r="L396" i="20"/>
  <c r="L395" i="20" s="1"/>
  <c r="L393" i="20" s="1"/>
  <c r="L392" i="20" s="1"/>
  <c r="M396" i="20"/>
  <c r="M395" i="20" s="1"/>
  <c r="M393" i="20" s="1"/>
  <c r="M392" i="20" s="1"/>
  <c r="N396" i="20"/>
  <c r="N395" i="20" s="1"/>
  <c r="N393" i="20" s="1"/>
  <c r="N392" i="20" s="1"/>
  <c r="O396" i="20"/>
  <c r="O395" i="20" s="1"/>
  <c r="O393" i="20" s="1"/>
  <c r="O392" i="20" s="1"/>
  <c r="P396" i="20"/>
  <c r="P395" i="20" s="1"/>
  <c r="P393" i="20" s="1"/>
  <c r="P392" i="20" s="1"/>
  <c r="Q396" i="20"/>
  <c r="Q395" i="20" s="1"/>
  <c r="Q393" i="20" s="1"/>
  <c r="Q392" i="20" s="1"/>
  <c r="R396" i="20"/>
  <c r="R395" i="20" s="1"/>
  <c r="R393" i="20" s="1"/>
  <c r="R392" i="20" s="1"/>
  <c r="S396" i="20"/>
  <c r="S395" i="20" s="1"/>
  <c r="S393" i="20" s="1"/>
  <c r="S392" i="20" s="1"/>
  <c r="T396" i="20"/>
  <c r="T395" i="20" s="1"/>
  <c r="T393" i="20" s="1"/>
  <c r="T392" i="20" s="1"/>
  <c r="V396" i="20"/>
  <c r="V395" i="20" s="1"/>
  <c r="V393" i="20" s="1"/>
  <c r="V392" i="20" s="1"/>
  <c r="X396" i="20"/>
  <c r="X395" i="20" s="1"/>
  <c r="X393" i="20" s="1"/>
  <c r="X392" i="20" s="1"/>
  <c r="Y396" i="20"/>
  <c r="Y395" i="20" s="1"/>
  <c r="Y393" i="20" s="1"/>
  <c r="Y392" i="20" s="1"/>
  <c r="Z396" i="20"/>
  <c r="Z395" i="20" s="1"/>
  <c r="Z393" i="20" s="1"/>
  <c r="Z392" i="20" s="1"/>
  <c r="AA396" i="20"/>
  <c r="AA395" i="20" s="1"/>
  <c r="AA393" i="20" s="1"/>
  <c r="AA392" i="20" s="1"/>
  <c r="W406" i="20"/>
  <c r="AC406" i="20" s="1"/>
  <c r="W407" i="20"/>
  <c r="AC407" i="20" s="1"/>
  <c r="K404" i="20"/>
  <c r="K403" i="20" s="1"/>
  <c r="K401" i="20" s="1"/>
  <c r="K400" i="20" s="1"/>
  <c r="L404" i="20"/>
  <c r="L403" i="20" s="1"/>
  <c r="L401" i="20" s="1"/>
  <c r="L400" i="20" s="1"/>
  <c r="M404" i="20"/>
  <c r="M403" i="20" s="1"/>
  <c r="M401" i="20" s="1"/>
  <c r="M400" i="20" s="1"/>
  <c r="O404" i="20"/>
  <c r="O403" i="20" s="1"/>
  <c r="O401" i="20" s="1"/>
  <c r="O400" i="20" s="1"/>
  <c r="P404" i="20"/>
  <c r="P403" i="20" s="1"/>
  <c r="P401" i="20" s="1"/>
  <c r="P400" i="20" s="1"/>
  <c r="R404" i="20"/>
  <c r="R403" i="20" s="1"/>
  <c r="R401" i="20" s="1"/>
  <c r="R400" i="20" s="1"/>
  <c r="S404" i="20"/>
  <c r="S403" i="20" s="1"/>
  <c r="S401" i="20" s="1"/>
  <c r="S400" i="20" s="1"/>
  <c r="T404" i="20"/>
  <c r="T403" i="20" s="1"/>
  <c r="T401" i="20" s="1"/>
  <c r="T400" i="20" s="1"/>
  <c r="X404" i="20"/>
  <c r="X403" i="20" s="1"/>
  <c r="X401" i="20" s="1"/>
  <c r="X400" i="20" s="1"/>
  <c r="Y404" i="20"/>
  <c r="Y403" i="20" s="1"/>
  <c r="Y401" i="20" s="1"/>
  <c r="Y400" i="20" s="1"/>
  <c r="Z404" i="20"/>
  <c r="Z403" i="20" s="1"/>
  <c r="Z401" i="20" s="1"/>
  <c r="Z400" i="20" s="1"/>
  <c r="AA404" i="20"/>
  <c r="AA403" i="20" s="1"/>
  <c r="AA401" i="20" s="1"/>
  <c r="AA400" i="20" s="1"/>
  <c r="K413" i="20"/>
  <c r="K412" i="20" s="1"/>
  <c r="K410" i="20" s="1"/>
  <c r="K409" i="20" s="1"/>
  <c r="L413" i="20"/>
  <c r="L412" i="20" s="1"/>
  <c r="L410" i="20" s="1"/>
  <c r="L409" i="20" s="1"/>
  <c r="M413" i="20"/>
  <c r="M412" i="20" s="1"/>
  <c r="M410" i="20" s="1"/>
  <c r="M409" i="20" s="1"/>
  <c r="N413" i="20"/>
  <c r="N412" i="20" s="1"/>
  <c r="N410" i="20" s="1"/>
  <c r="N409" i="20" s="1"/>
  <c r="O413" i="20"/>
  <c r="O412" i="20" s="1"/>
  <c r="O410" i="20" s="1"/>
  <c r="O409" i="20" s="1"/>
  <c r="P413" i="20"/>
  <c r="P412" i="20" s="1"/>
  <c r="P410" i="20" s="1"/>
  <c r="P409" i="20" s="1"/>
  <c r="Q413" i="20"/>
  <c r="Q412" i="20" s="1"/>
  <c r="Q410" i="20" s="1"/>
  <c r="Q409" i="20" s="1"/>
  <c r="R413" i="20"/>
  <c r="R412" i="20" s="1"/>
  <c r="R410" i="20" s="1"/>
  <c r="R409" i="20" s="1"/>
  <c r="S413" i="20"/>
  <c r="S412" i="20" s="1"/>
  <c r="S410" i="20" s="1"/>
  <c r="S409" i="20" s="1"/>
  <c r="T413" i="20"/>
  <c r="T412" i="20" s="1"/>
  <c r="T410" i="20" s="1"/>
  <c r="T409" i="20" s="1"/>
  <c r="V413" i="20"/>
  <c r="V412" i="20" s="1"/>
  <c r="V410" i="20" s="1"/>
  <c r="V409" i="20" s="1"/>
  <c r="X413" i="20"/>
  <c r="X412" i="20" s="1"/>
  <c r="X410" i="20" s="1"/>
  <c r="X409" i="20" s="1"/>
  <c r="Y413" i="20"/>
  <c r="Y412" i="20" s="1"/>
  <c r="Y410" i="20" s="1"/>
  <c r="Y409" i="20" s="1"/>
  <c r="Z413" i="20"/>
  <c r="Z412" i="20" s="1"/>
  <c r="Z410" i="20" s="1"/>
  <c r="Z409" i="20" s="1"/>
  <c r="AA413" i="20"/>
  <c r="AA412" i="20" s="1"/>
  <c r="AA410" i="20" s="1"/>
  <c r="AA409" i="20" s="1"/>
  <c r="W422" i="20"/>
  <c r="AC422" i="20" s="1"/>
  <c r="W423" i="20"/>
  <c r="AC423" i="20" s="1"/>
  <c r="W424" i="20"/>
  <c r="AC424" i="20" s="1"/>
  <c r="W425" i="20"/>
  <c r="AC425" i="20" s="1"/>
  <c r="K420" i="20"/>
  <c r="L420" i="20"/>
  <c r="M420" i="20"/>
  <c r="N420" i="20"/>
  <c r="O420" i="20"/>
  <c r="P420" i="20"/>
  <c r="Q420" i="20"/>
  <c r="R420" i="20"/>
  <c r="S420" i="20"/>
  <c r="T420" i="20"/>
  <c r="V420" i="20"/>
  <c r="X420" i="20"/>
  <c r="Y420" i="20"/>
  <c r="Z420" i="20"/>
  <c r="AA420" i="20"/>
  <c r="K426" i="20"/>
  <c r="L426" i="20"/>
  <c r="M426" i="20"/>
  <c r="N426" i="20"/>
  <c r="O426" i="20"/>
  <c r="P426" i="20"/>
  <c r="Q426" i="20"/>
  <c r="R426" i="20"/>
  <c r="S426" i="20"/>
  <c r="T426" i="20"/>
  <c r="U426" i="20"/>
  <c r="V426" i="20"/>
  <c r="X426" i="20"/>
  <c r="Y426" i="20"/>
  <c r="Z426" i="20"/>
  <c r="AA426" i="20"/>
  <c r="K434" i="20"/>
  <c r="K433" i="20" s="1"/>
  <c r="K431" i="20" s="1"/>
  <c r="K430" i="20" s="1"/>
  <c r="L434" i="20"/>
  <c r="L433" i="20" s="1"/>
  <c r="L431" i="20" s="1"/>
  <c r="L430" i="20" s="1"/>
  <c r="M434" i="20"/>
  <c r="M433" i="20" s="1"/>
  <c r="M431" i="20" s="1"/>
  <c r="M430" i="20" s="1"/>
  <c r="N434" i="20"/>
  <c r="N433" i="20" s="1"/>
  <c r="N431" i="20" s="1"/>
  <c r="N430" i="20" s="1"/>
  <c r="O434" i="20"/>
  <c r="O433" i="20" s="1"/>
  <c r="O431" i="20" s="1"/>
  <c r="O430" i="20" s="1"/>
  <c r="P434" i="20"/>
  <c r="P433" i="20" s="1"/>
  <c r="P431" i="20" s="1"/>
  <c r="P430" i="20" s="1"/>
  <c r="Q434" i="20"/>
  <c r="Q433" i="20" s="1"/>
  <c r="Q431" i="20" s="1"/>
  <c r="Q430" i="20" s="1"/>
  <c r="R434" i="20"/>
  <c r="R433" i="20" s="1"/>
  <c r="R431" i="20" s="1"/>
  <c r="R430" i="20" s="1"/>
  <c r="S434" i="20"/>
  <c r="S433" i="20" s="1"/>
  <c r="S431" i="20" s="1"/>
  <c r="S430" i="20" s="1"/>
  <c r="T434" i="20"/>
  <c r="T433" i="20" s="1"/>
  <c r="T431" i="20" s="1"/>
  <c r="T430" i="20" s="1"/>
  <c r="U434" i="20"/>
  <c r="U433" i="20" s="1"/>
  <c r="U431" i="20" s="1"/>
  <c r="U430" i="20" s="1"/>
  <c r="V434" i="20"/>
  <c r="V433" i="20" s="1"/>
  <c r="V431" i="20" s="1"/>
  <c r="V430" i="20" s="1"/>
  <c r="X434" i="20"/>
  <c r="X433" i="20" s="1"/>
  <c r="X431" i="20" s="1"/>
  <c r="X430" i="20" s="1"/>
  <c r="Y434" i="20"/>
  <c r="Y433" i="20" s="1"/>
  <c r="Y431" i="20" s="1"/>
  <c r="Y430" i="20" s="1"/>
  <c r="Z434" i="20"/>
  <c r="Z433" i="20" s="1"/>
  <c r="Z431" i="20" s="1"/>
  <c r="Z430" i="20" s="1"/>
  <c r="AA434" i="20"/>
  <c r="AA433" i="20" s="1"/>
  <c r="AA431" i="20" s="1"/>
  <c r="AA430" i="20" s="1"/>
  <c r="K441" i="20"/>
  <c r="L441" i="20"/>
  <c r="M441" i="20"/>
  <c r="N441" i="20"/>
  <c r="O441" i="20"/>
  <c r="P441" i="20"/>
  <c r="Q441" i="20"/>
  <c r="S441" i="20"/>
  <c r="T441" i="20"/>
  <c r="V441" i="20"/>
  <c r="X441" i="20"/>
  <c r="Y441" i="20"/>
  <c r="Z441" i="20"/>
  <c r="AA441" i="20"/>
  <c r="K443" i="20"/>
  <c r="L443" i="20"/>
  <c r="M443" i="20"/>
  <c r="N443" i="20"/>
  <c r="O443" i="20"/>
  <c r="P443" i="20"/>
  <c r="Q443" i="20"/>
  <c r="R443" i="20"/>
  <c r="S443" i="20"/>
  <c r="T443" i="20"/>
  <c r="U443" i="20"/>
  <c r="V443" i="20"/>
  <c r="X443" i="20"/>
  <c r="Y443" i="20"/>
  <c r="Z443" i="20"/>
  <c r="AA443" i="20"/>
  <c r="K453" i="20"/>
  <c r="L453" i="20"/>
  <c r="M453" i="20"/>
  <c r="N453" i="20"/>
  <c r="O453" i="20"/>
  <c r="P453" i="20"/>
  <c r="Q453" i="20"/>
  <c r="R453" i="20"/>
  <c r="S453" i="20"/>
  <c r="T453" i="20"/>
  <c r="U453" i="20"/>
  <c r="V453" i="20"/>
  <c r="X453" i="20"/>
  <c r="Y453" i="20"/>
  <c r="Z453" i="20"/>
  <c r="AA453" i="20"/>
  <c r="K450" i="20"/>
  <c r="L450" i="20"/>
  <c r="M450" i="20"/>
  <c r="N450" i="20"/>
  <c r="O450" i="20"/>
  <c r="P450" i="20"/>
  <c r="Q450" i="20"/>
  <c r="R450" i="20"/>
  <c r="S450" i="20"/>
  <c r="T450" i="20"/>
  <c r="U450" i="20"/>
  <c r="V450" i="20"/>
  <c r="X450" i="20"/>
  <c r="Y450" i="20"/>
  <c r="Z450" i="20"/>
  <c r="AA450" i="20"/>
  <c r="K461" i="20"/>
  <c r="L461" i="20"/>
  <c r="M461" i="20"/>
  <c r="N461" i="20"/>
  <c r="O461" i="20"/>
  <c r="P461" i="20"/>
  <c r="Q461" i="20"/>
  <c r="R461" i="20"/>
  <c r="S461" i="20"/>
  <c r="T461" i="20"/>
  <c r="U461" i="20"/>
  <c r="V461" i="20"/>
  <c r="X461" i="20"/>
  <c r="Y461" i="20"/>
  <c r="Z461" i="20"/>
  <c r="AA461" i="20"/>
  <c r="K463" i="20"/>
  <c r="L463" i="20"/>
  <c r="M463" i="20"/>
  <c r="N463" i="20"/>
  <c r="O463" i="20"/>
  <c r="P463" i="20"/>
  <c r="Q463" i="20"/>
  <c r="R463" i="20"/>
  <c r="S463" i="20"/>
  <c r="T463" i="20"/>
  <c r="U463" i="20"/>
  <c r="V463" i="20"/>
  <c r="X463" i="20"/>
  <c r="Y463" i="20"/>
  <c r="Z463" i="20"/>
  <c r="AA463" i="20"/>
  <c r="K470" i="20"/>
  <c r="L470" i="20"/>
  <c r="M470" i="20"/>
  <c r="N470" i="20"/>
  <c r="O470" i="20"/>
  <c r="P470" i="20"/>
  <c r="Q470" i="20"/>
  <c r="R470" i="20"/>
  <c r="S470" i="20"/>
  <c r="T470" i="20"/>
  <c r="U470" i="20"/>
  <c r="V470" i="20"/>
  <c r="X470" i="20"/>
  <c r="Y470" i="20"/>
  <c r="Z470" i="20"/>
  <c r="AA470" i="20"/>
  <c r="K472" i="20"/>
  <c r="L472" i="20"/>
  <c r="M472" i="20"/>
  <c r="N472" i="20"/>
  <c r="O472" i="20"/>
  <c r="P472" i="20"/>
  <c r="Q472" i="20"/>
  <c r="R472" i="20"/>
  <c r="S472" i="20"/>
  <c r="T472" i="20"/>
  <c r="U472" i="20"/>
  <c r="V472" i="20"/>
  <c r="X472" i="20"/>
  <c r="Y472" i="20"/>
  <c r="Z472" i="20"/>
  <c r="AA472" i="20"/>
  <c r="K479" i="20"/>
  <c r="K478" i="20" s="1"/>
  <c r="K476" i="20" s="1"/>
  <c r="K475" i="20" s="1"/>
  <c r="L479" i="20"/>
  <c r="L478" i="20" s="1"/>
  <c r="L476" i="20" s="1"/>
  <c r="L475" i="20" s="1"/>
  <c r="M479" i="20"/>
  <c r="M478" i="20" s="1"/>
  <c r="M476" i="20" s="1"/>
  <c r="M475" i="20" s="1"/>
  <c r="N479" i="20"/>
  <c r="N478" i="20" s="1"/>
  <c r="N476" i="20" s="1"/>
  <c r="N475" i="20" s="1"/>
  <c r="O479" i="20"/>
  <c r="O478" i="20" s="1"/>
  <c r="O476" i="20" s="1"/>
  <c r="O475" i="20" s="1"/>
  <c r="P479" i="20"/>
  <c r="P478" i="20" s="1"/>
  <c r="P476" i="20" s="1"/>
  <c r="P475" i="20" s="1"/>
  <c r="Q479" i="20"/>
  <c r="Q478" i="20" s="1"/>
  <c r="Q476" i="20" s="1"/>
  <c r="Q475" i="20" s="1"/>
  <c r="R479" i="20"/>
  <c r="R478" i="20" s="1"/>
  <c r="R476" i="20" s="1"/>
  <c r="R475" i="20" s="1"/>
  <c r="S479" i="20"/>
  <c r="S478" i="20" s="1"/>
  <c r="S476" i="20" s="1"/>
  <c r="S475" i="20" s="1"/>
  <c r="T479" i="20"/>
  <c r="T478" i="20" s="1"/>
  <c r="T476" i="20" s="1"/>
  <c r="T475" i="20" s="1"/>
  <c r="U479" i="20"/>
  <c r="U478" i="20" s="1"/>
  <c r="U476" i="20" s="1"/>
  <c r="U475" i="20" s="1"/>
  <c r="V479" i="20"/>
  <c r="V478" i="20" s="1"/>
  <c r="V476" i="20" s="1"/>
  <c r="V475" i="20" s="1"/>
  <c r="X479" i="20"/>
  <c r="X478" i="20" s="1"/>
  <c r="X476" i="20" s="1"/>
  <c r="X475" i="20" s="1"/>
  <c r="Y479" i="20"/>
  <c r="Y478" i="20" s="1"/>
  <c r="Y476" i="20" s="1"/>
  <c r="Y475" i="20" s="1"/>
  <c r="Z479" i="20"/>
  <c r="Z478" i="20" s="1"/>
  <c r="Z476" i="20" s="1"/>
  <c r="Z475" i="20" s="1"/>
  <c r="AA479" i="20"/>
  <c r="AA478" i="20" s="1"/>
  <c r="AA476" i="20" s="1"/>
  <c r="AA475" i="20" s="1"/>
  <c r="K486" i="20"/>
  <c r="K485" i="20" s="1"/>
  <c r="K483" i="20" s="1"/>
  <c r="K482" i="20" s="1"/>
  <c r="L486" i="20"/>
  <c r="L485" i="20" s="1"/>
  <c r="L483" i="20" s="1"/>
  <c r="L482" i="20" s="1"/>
  <c r="M486" i="20"/>
  <c r="M485" i="20" s="1"/>
  <c r="M483" i="20" s="1"/>
  <c r="M482" i="20" s="1"/>
  <c r="N486" i="20"/>
  <c r="N485" i="20" s="1"/>
  <c r="N483" i="20" s="1"/>
  <c r="N482" i="20" s="1"/>
  <c r="O486" i="20"/>
  <c r="O485" i="20" s="1"/>
  <c r="O483" i="20" s="1"/>
  <c r="O482" i="20" s="1"/>
  <c r="P486" i="20"/>
  <c r="P485" i="20" s="1"/>
  <c r="P483" i="20" s="1"/>
  <c r="P482" i="20" s="1"/>
  <c r="Q486" i="20"/>
  <c r="Q485" i="20" s="1"/>
  <c r="Q483" i="20" s="1"/>
  <c r="Q482" i="20" s="1"/>
  <c r="R486" i="20"/>
  <c r="R485" i="20" s="1"/>
  <c r="R483" i="20" s="1"/>
  <c r="R482" i="20" s="1"/>
  <c r="S486" i="20"/>
  <c r="S485" i="20" s="1"/>
  <c r="S483" i="20" s="1"/>
  <c r="S482" i="20" s="1"/>
  <c r="T486" i="20"/>
  <c r="T485" i="20" s="1"/>
  <c r="T483" i="20" s="1"/>
  <c r="T482" i="20" s="1"/>
  <c r="U486" i="20"/>
  <c r="U485" i="20" s="1"/>
  <c r="U483" i="20" s="1"/>
  <c r="U482" i="20" s="1"/>
  <c r="V486" i="20"/>
  <c r="V485" i="20" s="1"/>
  <c r="V483" i="20" s="1"/>
  <c r="V482" i="20" s="1"/>
  <c r="X486" i="20"/>
  <c r="X485" i="20" s="1"/>
  <c r="X483" i="20" s="1"/>
  <c r="X482" i="20" s="1"/>
  <c r="Y486" i="20"/>
  <c r="Y485" i="20" s="1"/>
  <c r="Y483" i="20" s="1"/>
  <c r="Y482" i="20" s="1"/>
  <c r="Z486" i="20"/>
  <c r="Z485" i="20" s="1"/>
  <c r="Z483" i="20" s="1"/>
  <c r="Z482" i="20" s="1"/>
  <c r="AA486" i="20"/>
  <c r="AA485" i="20" s="1"/>
  <c r="AA483" i="20" s="1"/>
  <c r="AA482" i="20" s="1"/>
  <c r="K492" i="20"/>
  <c r="K490" i="20" s="1"/>
  <c r="K489" i="20" s="1"/>
  <c r="L492" i="20"/>
  <c r="L490" i="20" s="1"/>
  <c r="L489" i="20" s="1"/>
  <c r="M492" i="20"/>
  <c r="M490" i="20" s="1"/>
  <c r="M489" i="20" s="1"/>
  <c r="N492" i="20"/>
  <c r="N490" i="20" s="1"/>
  <c r="N489" i="20" s="1"/>
  <c r="O492" i="20"/>
  <c r="O490" i="20" s="1"/>
  <c r="O489" i="20" s="1"/>
  <c r="P492" i="20"/>
  <c r="P490" i="20" s="1"/>
  <c r="P489" i="20" s="1"/>
  <c r="Q492" i="20"/>
  <c r="Q490" i="20" s="1"/>
  <c r="Q489" i="20" s="1"/>
  <c r="R492" i="20"/>
  <c r="R490" i="20" s="1"/>
  <c r="R489" i="20" s="1"/>
  <c r="S492" i="20"/>
  <c r="S490" i="20" s="1"/>
  <c r="S489" i="20" s="1"/>
  <c r="T492" i="20"/>
  <c r="T490" i="20" s="1"/>
  <c r="T489" i="20" s="1"/>
  <c r="U492" i="20"/>
  <c r="U490" i="20" s="1"/>
  <c r="U489" i="20" s="1"/>
  <c r="V492" i="20"/>
  <c r="V490" i="20" s="1"/>
  <c r="V489" i="20" s="1"/>
  <c r="X492" i="20"/>
  <c r="X490" i="20" s="1"/>
  <c r="X489" i="20" s="1"/>
  <c r="Y492" i="20"/>
  <c r="Y490" i="20" s="1"/>
  <c r="Y489" i="20" s="1"/>
  <c r="Z492" i="20"/>
  <c r="Z490" i="20" s="1"/>
  <c r="Z489" i="20" s="1"/>
  <c r="AA492" i="20"/>
  <c r="AA490" i="20" s="1"/>
  <c r="AA489" i="20" s="1"/>
  <c r="K499" i="20"/>
  <c r="K498" i="20" s="1"/>
  <c r="K496" i="20" s="1"/>
  <c r="K495" i="20" s="1"/>
  <c r="L499" i="20"/>
  <c r="L498" i="20" s="1"/>
  <c r="L496" i="20" s="1"/>
  <c r="L495" i="20" s="1"/>
  <c r="M499" i="20"/>
  <c r="M498" i="20" s="1"/>
  <c r="M496" i="20" s="1"/>
  <c r="M495" i="20" s="1"/>
  <c r="N499" i="20"/>
  <c r="N498" i="20" s="1"/>
  <c r="N496" i="20" s="1"/>
  <c r="N495" i="20" s="1"/>
  <c r="O499" i="20"/>
  <c r="O498" i="20" s="1"/>
  <c r="O496" i="20" s="1"/>
  <c r="O495" i="20" s="1"/>
  <c r="P499" i="20"/>
  <c r="P498" i="20" s="1"/>
  <c r="P496" i="20" s="1"/>
  <c r="P495" i="20" s="1"/>
  <c r="Q499" i="20"/>
  <c r="Q498" i="20" s="1"/>
  <c r="Q496" i="20" s="1"/>
  <c r="Q495" i="20" s="1"/>
  <c r="S499" i="20"/>
  <c r="S498" i="20" s="1"/>
  <c r="S496" i="20" s="1"/>
  <c r="S495" i="20" s="1"/>
  <c r="T499" i="20"/>
  <c r="T498" i="20" s="1"/>
  <c r="T496" i="20" s="1"/>
  <c r="T495" i="20" s="1"/>
  <c r="X499" i="20"/>
  <c r="X498" i="20" s="1"/>
  <c r="X496" i="20" s="1"/>
  <c r="X495" i="20" s="1"/>
  <c r="Y499" i="20"/>
  <c r="Y498" i="20" s="1"/>
  <c r="Y496" i="20" s="1"/>
  <c r="Y495" i="20" s="1"/>
  <c r="Z499" i="20"/>
  <c r="Z498" i="20" s="1"/>
  <c r="Z496" i="20" s="1"/>
  <c r="Z495" i="20" s="1"/>
  <c r="AA499" i="20"/>
  <c r="AA498" i="20" s="1"/>
  <c r="AA496" i="20" s="1"/>
  <c r="AA495" i="20" s="1"/>
  <c r="W506" i="20"/>
  <c r="AC506" i="20" s="1"/>
  <c r="W507" i="20"/>
  <c r="AC507" i="20" s="1"/>
  <c r="W508" i="20"/>
  <c r="AC508" i="20" s="1"/>
  <c r="W509" i="20"/>
  <c r="AC509" i="20" s="1"/>
  <c r="W510" i="20"/>
  <c r="AC510" i="20" s="1"/>
  <c r="W511" i="20"/>
  <c r="AC511" i="20" s="1"/>
  <c r="W512" i="20"/>
  <c r="AC512" i="20" s="1"/>
  <c r="W513" i="20"/>
  <c r="AC513" i="20" s="1"/>
  <c r="W514" i="20"/>
  <c r="AC514" i="20" s="1"/>
  <c r="K504" i="20"/>
  <c r="L504" i="20"/>
  <c r="M504" i="20"/>
  <c r="O504" i="20"/>
  <c r="P504" i="20"/>
  <c r="Q504" i="20"/>
  <c r="S504" i="20"/>
  <c r="T504" i="20"/>
  <c r="V504" i="20"/>
  <c r="X504" i="20"/>
  <c r="Y504" i="20"/>
  <c r="Z504" i="20"/>
  <c r="AA504" i="20"/>
  <c r="W517" i="20"/>
  <c r="AC517" i="20" s="1"/>
  <c r="W518" i="20"/>
  <c r="AC518" i="20" s="1"/>
  <c r="W519" i="20"/>
  <c r="AC519" i="20" s="1"/>
  <c r="W520" i="20"/>
  <c r="AC520" i="20" s="1"/>
  <c r="W521" i="20"/>
  <c r="AC521" i="20" s="1"/>
  <c r="W522" i="20"/>
  <c r="AC522" i="20" s="1"/>
  <c r="K515" i="20"/>
  <c r="L515" i="20"/>
  <c r="M515" i="20"/>
  <c r="O515" i="20"/>
  <c r="P515" i="20"/>
  <c r="S515" i="20"/>
  <c r="T515" i="20"/>
  <c r="V515" i="20"/>
  <c r="X515" i="20"/>
  <c r="Y515" i="20"/>
  <c r="Z515" i="20"/>
  <c r="AA515" i="20"/>
  <c r="K527" i="20"/>
  <c r="K525" i="20" s="1"/>
  <c r="K524" i="20" s="1"/>
  <c r="L527" i="20"/>
  <c r="L525" i="20" s="1"/>
  <c r="L524" i="20" s="1"/>
  <c r="M527" i="20"/>
  <c r="M525" i="20" s="1"/>
  <c r="M524" i="20" s="1"/>
  <c r="N527" i="20"/>
  <c r="N525" i="20" s="1"/>
  <c r="N524" i="20" s="1"/>
  <c r="O527" i="20"/>
  <c r="O525" i="20" s="1"/>
  <c r="O524" i="20" s="1"/>
  <c r="P527" i="20"/>
  <c r="P525" i="20" s="1"/>
  <c r="P524" i="20" s="1"/>
  <c r="Q527" i="20"/>
  <c r="Q525" i="20" s="1"/>
  <c r="Q524" i="20" s="1"/>
  <c r="R527" i="20"/>
  <c r="R525" i="20" s="1"/>
  <c r="R524" i="20" s="1"/>
  <c r="S527" i="20"/>
  <c r="S525" i="20" s="1"/>
  <c r="S524" i="20" s="1"/>
  <c r="T527" i="20"/>
  <c r="T525" i="20" s="1"/>
  <c r="T524" i="20" s="1"/>
  <c r="U527" i="20"/>
  <c r="U525" i="20" s="1"/>
  <c r="U524" i="20" s="1"/>
  <c r="V527" i="20"/>
  <c r="V525" i="20" s="1"/>
  <c r="V524" i="20" s="1"/>
  <c r="X527" i="20"/>
  <c r="X525" i="20" s="1"/>
  <c r="X524" i="20" s="1"/>
  <c r="Y527" i="20"/>
  <c r="Y525" i="20" s="1"/>
  <c r="Y524" i="20" s="1"/>
  <c r="Z527" i="20"/>
  <c r="Z525" i="20" s="1"/>
  <c r="Z524" i="20" s="1"/>
  <c r="AA527" i="20"/>
  <c r="AA525" i="20" s="1"/>
  <c r="AA524" i="20" s="1"/>
  <c r="K534" i="20"/>
  <c r="K532" i="20" s="1"/>
  <c r="K531" i="20" s="1"/>
  <c r="L534" i="20"/>
  <c r="L532" i="20" s="1"/>
  <c r="L531" i="20" s="1"/>
  <c r="M534" i="20"/>
  <c r="M532" i="20" s="1"/>
  <c r="M531" i="20" s="1"/>
  <c r="N534" i="20"/>
  <c r="N532" i="20" s="1"/>
  <c r="N531" i="20" s="1"/>
  <c r="O534" i="20"/>
  <c r="O532" i="20" s="1"/>
  <c r="O531" i="20" s="1"/>
  <c r="P534" i="20"/>
  <c r="P532" i="20" s="1"/>
  <c r="P531" i="20" s="1"/>
  <c r="Q534" i="20"/>
  <c r="Q532" i="20" s="1"/>
  <c r="Q531" i="20" s="1"/>
  <c r="R534" i="20"/>
  <c r="R532" i="20" s="1"/>
  <c r="R531" i="20" s="1"/>
  <c r="S534" i="20"/>
  <c r="S532" i="20" s="1"/>
  <c r="S531" i="20" s="1"/>
  <c r="T534" i="20"/>
  <c r="T532" i="20" s="1"/>
  <c r="T531" i="20" s="1"/>
  <c r="U534" i="20"/>
  <c r="U532" i="20" s="1"/>
  <c r="U531" i="20" s="1"/>
  <c r="V534" i="20"/>
  <c r="V532" i="20" s="1"/>
  <c r="V531" i="20" s="1"/>
  <c r="X534" i="20"/>
  <c r="X532" i="20" s="1"/>
  <c r="X531" i="20" s="1"/>
  <c r="Y534" i="20"/>
  <c r="Y532" i="20" s="1"/>
  <c r="Y531" i="20" s="1"/>
  <c r="Z534" i="20"/>
  <c r="Z532" i="20" s="1"/>
  <c r="Z531" i="20" s="1"/>
  <c r="AA534" i="20"/>
  <c r="AA532" i="20" s="1"/>
  <c r="AA531" i="20" s="1"/>
  <c r="K540" i="20"/>
  <c r="K538" i="20" s="1"/>
  <c r="K537" i="20" s="1"/>
  <c r="L540" i="20"/>
  <c r="L538" i="20" s="1"/>
  <c r="L537" i="20" s="1"/>
  <c r="M540" i="20"/>
  <c r="M538" i="20" s="1"/>
  <c r="M537" i="20" s="1"/>
  <c r="N540" i="20"/>
  <c r="N538" i="20" s="1"/>
  <c r="N537" i="20" s="1"/>
  <c r="O540" i="20"/>
  <c r="O538" i="20" s="1"/>
  <c r="O537" i="20" s="1"/>
  <c r="P540" i="20"/>
  <c r="P538" i="20" s="1"/>
  <c r="P537" i="20" s="1"/>
  <c r="Q540" i="20"/>
  <c r="Q538" i="20" s="1"/>
  <c r="Q537" i="20" s="1"/>
  <c r="R540" i="20"/>
  <c r="R538" i="20" s="1"/>
  <c r="R537" i="20" s="1"/>
  <c r="S540" i="20"/>
  <c r="S538" i="20" s="1"/>
  <c r="S537" i="20" s="1"/>
  <c r="T540" i="20"/>
  <c r="T538" i="20" s="1"/>
  <c r="T537" i="20" s="1"/>
  <c r="U540" i="20"/>
  <c r="U538" i="20" s="1"/>
  <c r="U537" i="20" s="1"/>
  <c r="V540" i="20"/>
  <c r="V538" i="20" s="1"/>
  <c r="V537" i="20" s="1"/>
  <c r="X540" i="20"/>
  <c r="X538" i="20" s="1"/>
  <c r="X537" i="20" s="1"/>
  <c r="Y540" i="20"/>
  <c r="Y538" i="20" s="1"/>
  <c r="Y537" i="20" s="1"/>
  <c r="Z540" i="20"/>
  <c r="Z538" i="20" s="1"/>
  <c r="Z537" i="20" s="1"/>
  <c r="AA540" i="20"/>
  <c r="AA538" i="20" s="1"/>
  <c r="AA537" i="20" s="1"/>
  <c r="K547" i="20"/>
  <c r="K545" i="20" s="1"/>
  <c r="K544" i="20" s="1"/>
  <c r="L547" i="20"/>
  <c r="L545" i="20" s="1"/>
  <c r="L544" i="20" s="1"/>
  <c r="M547" i="20"/>
  <c r="M545" i="20" s="1"/>
  <c r="M544" i="20" s="1"/>
  <c r="N547" i="20"/>
  <c r="N545" i="20" s="1"/>
  <c r="N544" i="20" s="1"/>
  <c r="O547" i="20"/>
  <c r="O545" i="20" s="1"/>
  <c r="O544" i="20" s="1"/>
  <c r="P547" i="20"/>
  <c r="P545" i="20" s="1"/>
  <c r="P544" i="20" s="1"/>
  <c r="Q547" i="20"/>
  <c r="Q545" i="20" s="1"/>
  <c r="Q544" i="20" s="1"/>
  <c r="R547" i="20"/>
  <c r="R545" i="20" s="1"/>
  <c r="R544" i="20" s="1"/>
  <c r="S547" i="20"/>
  <c r="S545" i="20" s="1"/>
  <c r="S544" i="20" s="1"/>
  <c r="T547" i="20"/>
  <c r="T545" i="20" s="1"/>
  <c r="T544" i="20" s="1"/>
  <c r="U547" i="20"/>
  <c r="U545" i="20" s="1"/>
  <c r="U544" i="20" s="1"/>
  <c r="V547" i="20"/>
  <c r="V545" i="20" s="1"/>
  <c r="V544" i="20" s="1"/>
  <c r="X547" i="20"/>
  <c r="X545" i="20" s="1"/>
  <c r="X544" i="20" s="1"/>
  <c r="Y547" i="20"/>
  <c r="Y545" i="20" s="1"/>
  <c r="Y544" i="20" s="1"/>
  <c r="Z547" i="20"/>
  <c r="Z545" i="20" s="1"/>
  <c r="Z544" i="20" s="1"/>
  <c r="AA547" i="20"/>
  <c r="AA545" i="20" s="1"/>
  <c r="AA544" i="20" s="1"/>
  <c r="W549" i="20"/>
  <c r="AC549" i="20" s="1"/>
  <c r="W550" i="20"/>
  <c r="AC550" i="20" s="1"/>
  <c r="W551" i="20"/>
  <c r="AC551" i="20" s="1"/>
  <c r="W552" i="20"/>
  <c r="AC552" i="20" s="1"/>
  <c r="K557" i="20"/>
  <c r="K555" i="20" s="1"/>
  <c r="K554" i="20" s="1"/>
  <c r="L557" i="20"/>
  <c r="L555" i="20" s="1"/>
  <c r="L554" i="20" s="1"/>
  <c r="M557" i="20"/>
  <c r="M555" i="20" s="1"/>
  <c r="M554" i="20" s="1"/>
  <c r="N557" i="20"/>
  <c r="N555" i="20" s="1"/>
  <c r="N554" i="20" s="1"/>
  <c r="O557" i="20"/>
  <c r="O555" i="20" s="1"/>
  <c r="O554" i="20" s="1"/>
  <c r="P557" i="20"/>
  <c r="P555" i="20" s="1"/>
  <c r="P554" i="20" s="1"/>
  <c r="Q557" i="20"/>
  <c r="Q555" i="20" s="1"/>
  <c r="Q554" i="20" s="1"/>
  <c r="R557" i="20"/>
  <c r="R555" i="20" s="1"/>
  <c r="R554" i="20" s="1"/>
  <c r="S557" i="20"/>
  <c r="S555" i="20" s="1"/>
  <c r="S554" i="20" s="1"/>
  <c r="T557" i="20"/>
  <c r="T555" i="20" s="1"/>
  <c r="T554" i="20" s="1"/>
  <c r="U557" i="20"/>
  <c r="U555" i="20" s="1"/>
  <c r="U554" i="20" s="1"/>
  <c r="V557" i="20"/>
  <c r="V555" i="20" s="1"/>
  <c r="V554" i="20" s="1"/>
  <c r="X557" i="20"/>
  <c r="X555" i="20" s="1"/>
  <c r="X554" i="20" s="1"/>
  <c r="Y557" i="20"/>
  <c r="Y555" i="20" s="1"/>
  <c r="Y554" i="20" s="1"/>
  <c r="Z557" i="20"/>
  <c r="Z555" i="20" s="1"/>
  <c r="Z554" i="20" s="1"/>
  <c r="AA557" i="20"/>
  <c r="AA555" i="20" s="1"/>
  <c r="AA554" i="20" s="1"/>
  <c r="K563" i="20"/>
  <c r="K561" i="20" s="1"/>
  <c r="K560" i="20" s="1"/>
  <c r="L563" i="20"/>
  <c r="L561" i="20" s="1"/>
  <c r="L560" i="20" s="1"/>
  <c r="M563" i="20"/>
  <c r="M561" i="20" s="1"/>
  <c r="M560" i="20" s="1"/>
  <c r="N563" i="20"/>
  <c r="N561" i="20" s="1"/>
  <c r="N560" i="20" s="1"/>
  <c r="O563" i="20"/>
  <c r="O561" i="20" s="1"/>
  <c r="O560" i="20" s="1"/>
  <c r="P563" i="20"/>
  <c r="P561" i="20" s="1"/>
  <c r="P560" i="20" s="1"/>
  <c r="Q563" i="20"/>
  <c r="Q561" i="20" s="1"/>
  <c r="Q560" i="20" s="1"/>
  <c r="R563" i="20"/>
  <c r="R561" i="20" s="1"/>
  <c r="R560" i="20" s="1"/>
  <c r="S563" i="20"/>
  <c r="S561" i="20" s="1"/>
  <c r="S560" i="20" s="1"/>
  <c r="T563" i="20"/>
  <c r="T561" i="20" s="1"/>
  <c r="T560" i="20" s="1"/>
  <c r="U563" i="20"/>
  <c r="U561" i="20" s="1"/>
  <c r="U560" i="20" s="1"/>
  <c r="V563" i="20"/>
  <c r="V561" i="20" s="1"/>
  <c r="V560" i="20" s="1"/>
  <c r="X563" i="20"/>
  <c r="X561" i="20" s="1"/>
  <c r="X560" i="20" s="1"/>
  <c r="Y563" i="20"/>
  <c r="Y561" i="20" s="1"/>
  <c r="Y560" i="20" s="1"/>
  <c r="Z563" i="20"/>
  <c r="Z561" i="20" s="1"/>
  <c r="Z560" i="20" s="1"/>
  <c r="AA563" i="20"/>
  <c r="AA561" i="20" s="1"/>
  <c r="AA560" i="20" s="1"/>
  <c r="K568" i="20"/>
  <c r="K567" i="20" s="1"/>
  <c r="K566" i="20" s="1"/>
  <c r="L568" i="20"/>
  <c r="L567" i="20" s="1"/>
  <c r="L566" i="20" s="1"/>
  <c r="M568" i="20"/>
  <c r="M567" i="20" s="1"/>
  <c r="M566" i="20" s="1"/>
  <c r="N568" i="20"/>
  <c r="N567" i="20" s="1"/>
  <c r="N566" i="20" s="1"/>
  <c r="O568" i="20"/>
  <c r="O567" i="20" s="1"/>
  <c r="O566" i="20" s="1"/>
  <c r="P568" i="20"/>
  <c r="P567" i="20" s="1"/>
  <c r="P566" i="20" s="1"/>
  <c r="Q568" i="20"/>
  <c r="Q567" i="20" s="1"/>
  <c r="Q566" i="20" s="1"/>
  <c r="R568" i="20"/>
  <c r="R567" i="20" s="1"/>
  <c r="R566" i="20" s="1"/>
  <c r="S568" i="20"/>
  <c r="S567" i="20" s="1"/>
  <c r="S566" i="20" s="1"/>
  <c r="T568" i="20"/>
  <c r="T567" i="20" s="1"/>
  <c r="T566" i="20" s="1"/>
  <c r="U568" i="20"/>
  <c r="U567" i="20" s="1"/>
  <c r="U566" i="20" s="1"/>
  <c r="V568" i="20"/>
  <c r="V567" i="20" s="1"/>
  <c r="V566" i="20" s="1"/>
  <c r="X568" i="20"/>
  <c r="X567" i="20" s="1"/>
  <c r="X566" i="20" s="1"/>
  <c r="Y568" i="20"/>
  <c r="Y567" i="20" s="1"/>
  <c r="Y566" i="20" s="1"/>
  <c r="Z568" i="20"/>
  <c r="Z567" i="20" s="1"/>
  <c r="Z566" i="20" s="1"/>
  <c r="AA568" i="20"/>
  <c r="AA567" i="20" s="1"/>
  <c r="AA566" i="20" s="1"/>
  <c r="W587" i="20"/>
  <c r="AD586" i="20" s="1"/>
  <c r="W588" i="20"/>
  <c r="AC588" i="20" s="1"/>
  <c r="W589" i="20"/>
  <c r="AC589" i="20" s="1"/>
  <c r="K585" i="20"/>
  <c r="K583" i="20" s="1"/>
  <c r="K582" i="20" s="1"/>
  <c r="L585" i="20"/>
  <c r="L583" i="20" s="1"/>
  <c r="L582" i="20" s="1"/>
  <c r="M585" i="20"/>
  <c r="M583" i="20" s="1"/>
  <c r="M582" i="20" s="1"/>
  <c r="O585" i="20"/>
  <c r="O583" i="20" s="1"/>
  <c r="O582" i="20" s="1"/>
  <c r="P585" i="20"/>
  <c r="P583" i="20" s="1"/>
  <c r="P582" i="20" s="1"/>
  <c r="Q585" i="20"/>
  <c r="Q583" i="20" s="1"/>
  <c r="Q582" i="20" s="1"/>
  <c r="S585" i="20"/>
  <c r="S583" i="20" s="1"/>
  <c r="S582" i="20" s="1"/>
  <c r="T585" i="20"/>
  <c r="T583" i="20" s="1"/>
  <c r="T582" i="20" s="1"/>
  <c r="U585" i="20"/>
  <c r="U583" i="20" s="1"/>
  <c r="U582" i="20" s="1"/>
  <c r="AA585" i="20"/>
  <c r="AA583" i="20" s="1"/>
  <c r="AA582" i="20" s="1"/>
  <c r="K593" i="20"/>
  <c r="L593" i="20"/>
  <c r="M593" i="20"/>
  <c r="N593" i="20"/>
  <c r="O593" i="20"/>
  <c r="P593" i="20"/>
  <c r="Q593" i="20"/>
  <c r="S593" i="20"/>
  <c r="T593" i="20"/>
  <c r="U593" i="20"/>
  <c r="V593" i="20"/>
  <c r="X593" i="20"/>
  <c r="Y593" i="20"/>
  <c r="Z593" i="20"/>
  <c r="AA593" i="20"/>
  <c r="W595" i="20"/>
  <c r="AC595" i="20" s="1"/>
  <c r="W594" i="20"/>
  <c r="W598" i="20"/>
  <c r="AC598" i="20" s="1"/>
  <c r="AC599" i="20"/>
  <c r="AC600" i="20"/>
  <c r="AC601" i="20"/>
  <c r="K596" i="20"/>
  <c r="L596" i="20"/>
  <c r="M596" i="20"/>
  <c r="O596" i="20"/>
  <c r="P596" i="20"/>
  <c r="S596" i="20"/>
  <c r="V596" i="20"/>
  <c r="X596" i="20"/>
  <c r="Y596" i="20"/>
  <c r="Z596" i="20"/>
  <c r="W617" i="20"/>
  <c r="W619" i="20"/>
  <c r="W618" i="20" s="1"/>
  <c r="W608" i="20"/>
  <c r="AC608" i="20" s="1"/>
  <c r="W609" i="20"/>
  <c r="AC609" i="20" s="1"/>
  <c r="W610" i="20"/>
  <c r="AC610" i="20" s="1"/>
  <c r="W611" i="20"/>
  <c r="AC611" i="20" s="1"/>
  <c r="W612" i="20"/>
  <c r="AC612" i="20" s="1"/>
  <c r="K606" i="20"/>
  <c r="K604" i="20" s="1"/>
  <c r="K603" i="20" s="1"/>
  <c r="L606" i="20"/>
  <c r="L604" i="20" s="1"/>
  <c r="L603" i="20" s="1"/>
  <c r="O606" i="20"/>
  <c r="O604" i="20" s="1"/>
  <c r="O603" i="20" s="1"/>
  <c r="Q606" i="20"/>
  <c r="Q604" i="20" s="1"/>
  <c r="Q603" i="20" s="1"/>
  <c r="S606" i="20"/>
  <c r="S604" i="20" s="1"/>
  <c r="S603" i="20" s="1"/>
  <c r="T606" i="20"/>
  <c r="T604" i="20" s="1"/>
  <c r="T603" i="20" s="1"/>
  <c r="X606" i="20"/>
  <c r="X604" i="20" s="1"/>
  <c r="X603" i="20" s="1"/>
  <c r="Y606" i="20"/>
  <c r="Y604" i="20" s="1"/>
  <c r="Y603" i="20" s="1"/>
  <c r="Z606" i="20"/>
  <c r="Z604" i="20" s="1"/>
  <c r="Z603" i="20" s="1"/>
  <c r="AA606" i="20"/>
  <c r="AA604" i="20" s="1"/>
  <c r="AA603" i="20" s="1"/>
  <c r="K618" i="20"/>
  <c r="K615" i="20" s="1"/>
  <c r="K614" i="20" s="1"/>
  <c r="L618" i="20"/>
  <c r="L615" i="20" s="1"/>
  <c r="L614" i="20" s="1"/>
  <c r="M618" i="20"/>
  <c r="M615" i="20" s="1"/>
  <c r="M614" i="20" s="1"/>
  <c r="O618" i="20"/>
  <c r="O615" i="20" s="1"/>
  <c r="O614" i="20" s="1"/>
  <c r="P618" i="20"/>
  <c r="P615" i="20" s="1"/>
  <c r="P614" i="20" s="1"/>
  <c r="Q618" i="20"/>
  <c r="Q615" i="20" s="1"/>
  <c r="Q614" i="20" s="1"/>
  <c r="S618" i="20"/>
  <c r="S615" i="20" s="1"/>
  <c r="S614" i="20" s="1"/>
  <c r="T618" i="20"/>
  <c r="T615" i="20" s="1"/>
  <c r="T614" i="20" s="1"/>
  <c r="U618" i="20"/>
  <c r="U615" i="20" s="1"/>
  <c r="U614" i="20" s="1"/>
  <c r="V618" i="20"/>
  <c r="V615" i="20" s="1"/>
  <c r="V614" i="20" s="1"/>
  <c r="X618" i="20"/>
  <c r="X615" i="20" s="1"/>
  <c r="X614" i="20" s="1"/>
  <c r="Y618" i="20"/>
  <c r="Y615" i="20" s="1"/>
  <c r="Y614" i="20" s="1"/>
  <c r="Z618" i="20"/>
  <c r="Z615" i="20" s="1"/>
  <c r="Z614" i="20" s="1"/>
  <c r="AA618" i="20"/>
  <c r="AA615" i="20" s="1"/>
  <c r="AA614" i="20" s="1"/>
  <c r="K626" i="20"/>
  <c r="L626" i="20"/>
  <c r="M626" i="20"/>
  <c r="N626" i="20"/>
  <c r="O626" i="20"/>
  <c r="P626" i="20"/>
  <c r="Q626" i="20"/>
  <c r="R626" i="20"/>
  <c r="S626" i="20"/>
  <c r="T626" i="20"/>
  <c r="U626" i="20"/>
  <c r="V626" i="20"/>
  <c r="X626" i="20"/>
  <c r="Y626" i="20"/>
  <c r="Z626" i="20"/>
  <c r="AA626" i="20"/>
  <c r="W628" i="20"/>
  <c r="AC628" i="20" s="1"/>
  <c r="W629" i="20"/>
  <c r="AC629" i="20" s="1"/>
  <c r="W625" i="20"/>
  <c r="AC625" i="20" s="1"/>
  <c r="W630" i="20"/>
  <c r="AC630" i="20" s="1"/>
  <c r="W631" i="20"/>
  <c r="AC631" i="20" s="1"/>
  <c r="W632" i="20"/>
  <c r="AC632" i="20" s="1"/>
  <c r="W633" i="20"/>
  <c r="AC633" i="20" s="1"/>
  <c r="W634" i="20"/>
  <c r="AC634" i="20" s="1"/>
  <c r="W635" i="20"/>
  <c r="AC635" i="20" s="1"/>
  <c r="W636" i="20"/>
  <c r="AC636" i="20" s="1"/>
  <c r="W637" i="20"/>
  <c r="AC637" i="20" s="1"/>
  <c r="K641" i="20"/>
  <c r="L641" i="20"/>
  <c r="N641" i="20"/>
  <c r="O641" i="20"/>
  <c r="P641" i="20"/>
  <c r="Q641" i="20"/>
  <c r="R641" i="20"/>
  <c r="S641" i="20"/>
  <c r="T641" i="20"/>
  <c r="U641" i="20"/>
  <c r="V641" i="20"/>
  <c r="X641" i="20"/>
  <c r="Y641" i="20"/>
  <c r="Z641" i="20"/>
  <c r="AA641" i="20"/>
  <c r="W646" i="20"/>
  <c r="AC646" i="20" s="1"/>
  <c r="W647" i="20"/>
  <c r="AC647" i="20" s="1"/>
  <c r="W648" i="20"/>
  <c r="AC648" i="20" s="1"/>
  <c r="W649" i="20"/>
  <c r="AC649" i="20" s="1"/>
  <c r="W650" i="20"/>
  <c r="AC650" i="20" s="1"/>
  <c r="W651" i="20"/>
  <c r="AC651" i="20" s="1"/>
  <c r="W652" i="20"/>
  <c r="AC652" i="20" s="1"/>
  <c r="K644" i="20"/>
  <c r="L644" i="20"/>
  <c r="M644" i="20"/>
  <c r="N644" i="20"/>
  <c r="O644" i="20"/>
  <c r="P644" i="20"/>
  <c r="Q644" i="20"/>
  <c r="R644" i="20"/>
  <c r="S644" i="20"/>
  <c r="T644" i="20"/>
  <c r="U644" i="20"/>
  <c r="V644" i="20"/>
  <c r="X644" i="20"/>
  <c r="Y644" i="20"/>
  <c r="Z644" i="20"/>
  <c r="AA644" i="20"/>
  <c r="K663" i="20"/>
  <c r="K661" i="20" s="1"/>
  <c r="K660" i="20" s="1"/>
  <c r="L663" i="20"/>
  <c r="L661" i="20" s="1"/>
  <c r="L660" i="20" s="1"/>
  <c r="M663" i="20"/>
  <c r="M661" i="20" s="1"/>
  <c r="M660" i="20" s="1"/>
  <c r="N663" i="20"/>
  <c r="N661" i="20" s="1"/>
  <c r="N660" i="20" s="1"/>
  <c r="O663" i="20"/>
  <c r="O661" i="20" s="1"/>
  <c r="O660" i="20" s="1"/>
  <c r="P663" i="20"/>
  <c r="P661" i="20" s="1"/>
  <c r="P660" i="20" s="1"/>
  <c r="Q663" i="20"/>
  <c r="Q661" i="20" s="1"/>
  <c r="Q660" i="20" s="1"/>
  <c r="S663" i="20"/>
  <c r="S661" i="20" s="1"/>
  <c r="S660" i="20" s="1"/>
  <c r="T663" i="20"/>
  <c r="T661" i="20" s="1"/>
  <c r="T660" i="20" s="1"/>
  <c r="V663" i="20"/>
  <c r="V661" i="20" s="1"/>
  <c r="V660" i="20" s="1"/>
  <c r="X663" i="20"/>
  <c r="X661" i="20" s="1"/>
  <c r="X660" i="20" s="1"/>
  <c r="Y663" i="20"/>
  <c r="Y661" i="20" s="1"/>
  <c r="Y660" i="20" s="1"/>
  <c r="Z663" i="20"/>
  <c r="Z661" i="20" s="1"/>
  <c r="Z660" i="20" s="1"/>
  <c r="AA663" i="20"/>
  <c r="AA661" i="20" s="1"/>
  <c r="AA660" i="20" s="1"/>
  <c r="K670" i="20"/>
  <c r="K668" i="20" s="1"/>
  <c r="K667" i="20" s="1"/>
  <c r="L670" i="20"/>
  <c r="L668" i="20" s="1"/>
  <c r="L667" i="20" s="1"/>
  <c r="M670" i="20"/>
  <c r="M668" i="20" s="1"/>
  <c r="M667" i="20" s="1"/>
  <c r="N670" i="20"/>
  <c r="N668" i="20" s="1"/>
  <c r="N667" i="20" s="1"/>
  <c r="O670" i="20"/>
  <c r="O668" i="20" s="1"/>
  <c r="O667" i="20" s="1"/>
  <c r="P670" i="20"/>
  <c r="P668" i="20" s="1"/>
  <c r="P667" i="20" s="1"/>
  <c r="Q670" i="20"/>
  <c r="Q668" i="20" s="1"/>
  <c r="Q667" i="20" s="1"/>
  <c r="S670" i="20"/>
  <c r="S668" i="20" s="1"/>
  <c r="S667" i="20" s="1"/>
  <c r="T670" i="20"/>
  <c r="T668" i="20" s="1"/>
  <c r="T667" i="20" s="1"/>
  <c r="V670" i="20"/>
  <c r="V668" i="20" s="1"/>
  <c r="V667" i="20" s="1"/>
  <c r="X670" i="20"/>
  <c r="X668" i="20" s="1"/>
  <c r="X667" i="20" s="1"/>
  <c r="Y670" i="20"/>
  <c r="Y668" i="20" s="1"/>
  <c r="Y667" i="20" s="1"/>
  <c r="Z670" i="20"/>
  <c r="Z668" i="20" s="1"/>
  <c r="Z667" i="20" s="1"/>
  <c r="AA670" i="20"/>
  <c r="AA668" i="20" s="1"/>
  <c r="AA667" i="20" s="1"/>
  <c r="K676" i="20"/>
  <c r="L676" i="20"/>
  <c r="M676" i="20"/>
  <c r="N676" i="20"/>
  <c r="O676" i="20"/>
  <c r="P676" i="20"/>
  <c r="Q676" i="20"/>
  <c r="R676" i="20"/>
  <c r="S676" i="20"/>
  <c r="T676" i="20"/>
  <c r="U676" i="20"/>
  <c r="V676" i="20"/>
  <c r="X676" i="20"/>
  <c r="Y676" i="20"/>
  <c r="Z676" i="20"/>
  <c r="AA676" i="20"/>
  <c r="K679" i="20"/>
  <c r="L679" i="20"/>
  <c r="M679" i="20"/>
  <c r="O679" i="20"/>
  <c r="P679" i="20"/>
  <c r="Q679" i="20"/>
  <c r="S679" i="20"/>
  <c r="T679" i="20"/>
  <c r="U679" i="20"/>
  <c r="Y679" i="20"/>
  <c r="Z679" i="20"/>
  <c r="AA679" i="20"/>
  <c r="W681" i="20"/>
  <c r="AC681" i="20" s="1"/>
  <c r="W682" i="20"/>
  <c r="AC682" i="20" s="1"/>
  <c r="W683" i="20"/>
  <c r="AC683" i="20" s="1"/>
  <c r="W680" i="20"/>
  <c r="W678" i="20"/>
  <c r="AC678" i="20" s="1"/>
  <c r="W677" i="20"/>
  <c r="AC677" i="20" s="1"/>
  <c r="W690" i="20"/>
  <c r="AC690" i="20" s="1"/>
  <c r="W691" i="20"/>
  <c r="AC691" i="20" s="1"/>
  <c r="W692" i="20"/>
  <c r="AC692" i="20" s="1"/>
  <c r="W693" i="20"/>
  <c r="AC693" i="20" s="1"/>
  <c r="W694" i="20"/>
  <c r="AC694" i="20" s="1"/>
  <c r="W695" i="20"/>
  <c r="AC695" i="20" s="1"/>
  <c r="W696" i="20"/>
  <c r="AC696" i="20" s="1"/>
  <c r="K688" i="20"/>
  <c r="K686" i="20" s="1"/>
  <c r="K685" i="20" s="1"/>
  <c r="L688" i="20"/>
  <c r="L686" i="20" s="1"/>
  <c r="L685" i="20" s="1"/>
  <c r="O688" i="20"/>
  <c r="O686" i="20" s="1"/>
  <c r="O685" i="20" s="1"/>
  <c r="P688" i="20"/>
  <c r="P686" i="20" s="1"/>
  <c r="P685" i="20" s="1"/>
  <c r="S688" i="20"/>
  <c r="S686" i="20" s="1"/>
  <c r="S685" i="20" s="1"/>
  <c r="T688" i="20"/>
  <c r="T686" i="20" s="1"/>
  <c r="T685" i="20" s="1"/>
  <c r="U688" i="20"/>
  <c r="U686" i="20" s="1"/>
  <c r="U685" i="20" s="1"/>
  <c r="V688" i="20"/>
  <c r="V686" i="20" s="1"/>
  <c r="V685" i="20" s="1"/>
  <c r="X688" i="20"/>
  <c r="X686" i="20" s="1"/>
  <c r="X685" i="20" s="1"/>
  <c r="Y688" i="20"/>
  <c r="Y686" i="20" s="1"/>
  <c r="Y685" i="20" s="1"/>
  <c r="Z688" i="20"/>
  <c r="Z686" i="20" s="1"/>
  <c r="Z685" i="20" s="1"/>
  <c r="AA688" i="20"/>
  <c r="AA686" i="20" s="1"/>
  <c r="AA685" i="20" s="1"/>
  <c r="K701" i="20"/>
  <c r="K699" i="20" s="1"/>
  <c r="K698" i="20" s="1"/>
  <c r="L701" i="20"/>
  <c r="L699" i="20" s="1"/>
  <c r="L698" i="20" s="1"/>
  <c r="M701" i="20"/>
  <c r="M699" i="20" s="1"/>
  <c r="M698" i="20" s="1"/>
  <c r="O701" i="20"/>
  <c r="O699" i="20" s="1"/>
  <c r="O698" i="20" s="1"/>
  <c r="P701" i="20"/>
  <c r="P699" i="20" s="1"/>
  <c r="P698" i="20" s="1"/>
  <c r="Q701" i="20"/>
  <c r="Q699" i="20" s="1"/>
  <c r="Q698" i="20" s="1"/>
  <c r="S701" i="20"/>
  <c r="S699" i="20" s="1"/>
  <c r="S698" i="20" s="1"/>
  <c r="T701" i="20"/>
  <c r="T699" i="20" s="1"/>
  <c r="T698" i="20" s="1"/>
  <c r="U701" i="20"/>
  <c r="U699" i="20" s="1"/>
  <c r="U698" i="20" s="1"/>
  <c r="X701" i="20"/>
  <c r="X699" i="20" s="1"/>
  <c r="X698" i="20" s="1"/>
  <c r="Y701" i="20"/>
  <c r="Y699" i="20" s="1"/>
  <c r="Y698" i="20" s="1"/>
  <c r="Z701" i="20"/>
  <c r="Z699" i="20" s="1"/>
  <c r="Z698" i="20" s="1"/>
  <c r="AA701" i="20"/>
  <c r="AA699" i="20" s="1"/>
  <c r="AA698" i="20" s="1"/>
  <c r="K709" i="20"/>
  <c r="L709" i="20"/>
  <c r="M709" i="20"/>
  <c r="O709" i="20"/>
  <c r="P709" i="20"/>
  <c r="S709" i="20"/>
  <c r="T709" i="20"/>
  <c r="V709" i="20"/>
  <c r="X709" i="20"/>
  <c r="Y709" i="20"/>
  <c r="Z709" i="20"/>
  <c r="AA709" i="20"/>
  <c r="K712" i="20"/>
  <c r="L712" i="20"/>
  <c r="M712" i="20"/>
  <c r="O712" i="20"/>
  <c r="P712" i="20"/>
  <c r="S712" i="20"/>
  <c r="T712" i="20"/>
  <c r="V712" i="20"/>
  <c r="X712" i="20"/>
  <c r="Y712" i="20"/>
  <c r="Z712" i="20"/>
  <c r="AA712" i="20"/>
  <c r="K719" i="20"/>
  <c r="K717" i="20" s="1"/>
  <c r="K716" i="20" s="1"/>
  <c r="L719" i="20"/>
  <c r="L717" i="20" s="1"/>
  <c r="L716" i="20" s="1"/>
  <c r="M719" i="20"/>
  <c r="M717" i="20" s="1"/>
  <c r="M716" i="20" s="1"/>
  <c r="N719" i="20"/>
  <c r="N717" i="20" s="1"/>
  <c r="N716" i="20" s="1"/>
  <c r="O719" i="20"/>
  <c r="O717" i="20" s="1"/>
  <c r="O716" i="20" s="1"/>
  <c r="P719" i="20"/>
  <c r="P717" i="20" s="1"/>
  <c r="P716" i="20" s="1"/>
  <c r="Q719" i="20"/>
  <c r="Q717" i="20" s="1"/>
  <c r="Q716" i="20" s="1"/>
  <c r="R719" i="20"/>
  <c r="R717" i="20" s="1"/>
  <c r="R716" i="20" s="1"/>
  <c r="S719" i="20"/>
  <c r="S717" i="20" s="1"/>
  <c r="S716" i="20" s="1"/>
  <c r="T719" i="20"/>
  <c r="T717" i="20" s="1"/>
  <c r="T716" i="20" s="1"/>
  <c r="U719" i="20"/>
  <c r="U717" i="20" s="1"/>
  <c r="U716" i="20" s="1"/>
  <c r="V719" i="20"/>
  <c r="V717" i="20" s="1"/>
  <c r="V716" i="20" s="1"/>
  <c r="X719" i="20"/>
  <c r="X717" i="20" s="1"/>
  <c r="X716" i="20" s="1"/>
  <c r="Y719" i="20"/>
  <c r="Y717" i="20" s="1"/>
  <c r="Y716" i="20" s="1"/>
  <c r="Z719" i="20"/>
  <c r="Z717" i="20" s="1"/>
  <c r="Z716" i="20" s="1"/>
  <c r="AA719" i="20"/>
  <c r="AA717" i="20" s="1"/>
  <c r="AA716" i="20" s="1"/>
  <c r="K732" i="20"/>
  <c r="K730" i="20" s="1"/>
  <c r="K729" i="20" s="1"/>
  <c r="L732" i="20"/>
  <c r="L730" i="20" s="1"/>
  <c r="L729" i="20" s="1"/>
  <c r="O732" i="20"/>
  <c r="O730" i="20" s="1"/>
  <c r="O729" i="20" s="1"/>
  <c r="P732" i="20"/>
  <c r="P730" i="20" s="1"/>
  <c r="P729" i="20" s="1"/>
  <c r="S732" i="20"/>
  <c r="S730" i="20" s="1"/>
  <c r="S729" i="20" s="1"/>
  <c r="T732" i="20"/>
  <c r="T730" i="20" s="1"/>
  <c r="T729" i="20" s="1"/>
  <c r="U732" i="20"/>
  <c r="U730" i="20" s="1"/>
  <c r="U729" i="20" s="1"/>
  <c r="V732" i="20"/>
  <c r="V730" i="20" s="1"/>
  <c r="V729" i="20" s="1"/>
  <c r="X732" i="20"/>
  <c r="X730" i="20" s="1"/>
  <c r="X729" i="20" s="1"/>
  <c r="Y732" i="20"/>
  <c r="Y730" i="20" s="1"/>
  <c r="Y729" i="20" s="1"/>
  <c r="Z732" i="20"/>
  <c r="Z730" i="20" s="1"/>
  <c r="Z729" i="20" s="1"/>
  <c r="AA732" i="20"/>
  <c r="AA730" i="20" s="1"/>
  <c r="AA729" i="20" s="1"/>
  <c r="K738" i="20"/>
  <c r="L738" i="20"/>
  <c r="M738" i="20"/>
  <c r="O738" i="20"/>
  <c r="P738" i="20"/>
  <c r="Q738" i="20"/>
  <c r="S738" i="20"/>
  <c r="T738" i="20"/>
  <c r="U738" i="20"/>
  <c r="V738" i="20"/>
  <c r="X738" i="20"/>
  <c r="Y738" i="20"/>
  <c r="Z738" i="20"/>
  <c r="AA738" i="20"/>
  <c r="K740" i="20"/>
  <c r="L740" i="20"/>
  <c r="M740" i="20"/>
  <c r="N740" i="20"/>
  <c r="O740" i="20"/>
  <c r="P740" i="20"/>
  <c r="Q740" i="20"/>
  <c r="R740" i="20"/>
  <c r="S740" i="20"/>
  <c r="T740" i="20"/>
  <c r="U740" i="20"/>
  <c r="V740" i="20"/>
  <c r="X740" i="20"/>
  <c r="Y740" i="20"/>
  <c r="Z740" i="20"/>
  <c r="AA740" i="20"/>
  <c r="W750" i="20"/>
  <c r="AC750" i="20" s="1"/>
  <c r="W751" i="20"/>
  <c r="AC751" i="20" s="1"/>
  <c r="W752" i="20"/>
  <c r="K748" i="20"/>
  <c r="K746" i="20" s="1"/>
  <c r="K745" i="20" s="1"/>
  <c r="L748" i="20"/>
  <c r="L746" i="20" s="1"/>
  <c r="L745" i="20" s="1"/>
  <c r="M748" i="20"/>
  <c r="M746" i="20" s="1"/>
  <c r="M745" i="20" s="1"/>
  <c r="N748" i="20"/>
  <c r="N746" i="20" s="1"/>
  <c r="N745" i="20" s="1"/>
  <c r="O748" i="20"/>
  <c r="O746" i="20" s="1"/>
  <c r="O745" i="20" s="1"/>
  <c r="P748" i="20"/>
  <c r="P746" i="20" s="1"/>
  <c r="P745" i="20" s="1"/>
  <c r="Q748" i="20"/>
  <c r="Q746" i="20" s="1"/>
  <c r="Q745" i="20" s="1"/>
  <c r="S748" i="20"/>
  <c r="S746" i="20" s="1"/>
  <c r="S745" i="20" s="1"/>
  <c r="T748" i="20"/>
  <c r="T746" i="20" s="1"/>
  <c r="T745" i="20" s="1"/>
  <c r="V748" i="20"/>
  <c r="V746" i="20" s="1"/>
  <c r="V745" i="20" s="1"/>
  <c r="X748" i="20"/>
  <c r="X746" i="20" s="1"/>
  <c r="X745" i="20" s="1"/>
  <c r="Y748" i="20"/>
  <c r="Y746" i="20" s="1"/>
  <c r="Y745" i="20" s="1"/>
  <c r="Z748" i="20"/>
  <c r="Z746" i="20" s="1"/>
  <c r="Z745" i="20" s="1"/>
  <c r="AA748" i="20"/>
  <c r="AA746" i="20" s="1"/>
  <c r="AA745" i="20" s="1"/>
  <c r="W759" i="20"/>
  <c r="AC759" i="20" s="1"/>
  <c r="W760" i="20"/>
  <c r="AC760" i="20" s="1"/>
  <c r="W761" i="20"/>
  <c r="AC761" i="20" s="1"/>
  <c r="W762" i="20"/>
  <c r="AC762" i="20" s="1"/>
  <c r="W763" i="20"/>
  <c r="AC763" i="20" s="1"/>
  <c r="K757" i="20"/>
  <c r="K755" i="20" s="1"/>
  <c r="K754" i="20" s="1"/>
  <c r="L757" i="20"/>
  <c r="L755" i="20" s="1"/>
  <c r="L754" i="20" s="1"/>
  <c r="M757" i="20"/>
  <c r="M755" i="20" s="1"/>
  <c r="M754" i="20" s="1"/>
  <c r="N757" i="20"/>
  <c r="N755" i="20" s="1"/>
  <c r="N754" i="20" s="1"/>
  <c r="O757" i="20"/>
  <c r="O755" i="20" s="1"/>
  <c r="O754" i="20" s="1"/>
  <c r="P757" i="20"/>
  <c r="P755" i="20" s="1"/>
  <c r="P754" i="20" s="1"/>
  <c r="Q757" i="20"/>
  <c r="Q755" i="20" s="1"/>
  <c r="Q754" i="20" s="1"/>
  <c r="S757" i="20"/>
  <c r="S755" i="20" s="1"/>
  <c r="S754" i="20" s="1"/>
  <c r="T757" i="20"/>
  <c r="T755" i="20" s="1"/>
  <c r="T754" i="20" s="1"/>
  <c r="V757" i="20"/>
  <c r="V755" i="20" s="1"/>
  <c r="V754" i="20" s="1"/>
  <c r="X757" i="20"/>
  <c r="X755" i="20" s="1"/>
  <c r="X754" i="20" s="1"/>
  <c r="Y757" i="20"/>
  <c r="Y755" i="20" s="1"/>
  <c r="Y754" i="20" s="1"/>
  <c r="Z757" i="20"/>
  <c r="Z755" i="20" s="1"/>
  <c r="Z754" i="20" s="1"/>
  <c r="AA757" i="20"/>
  <c r="AA755" i="20" s="1"/>
  <c r="AA754" i="20" s="1"/>
  <c r="K768" i="20"/>
  <c r="K766" i="20" s="1"/>
  <c r="K765" i="20" s="1"/>
  <c r="L768" i="20"/>
  <c r="L766" i="20" s="1"/>
  <c r="L765" i="20" s="1"/>
  <c r="M768" i="20"/>
  <c r="M766" i="20" s="1"/>
  <c r="M765" i="20" s="1"/>
  <c r="N768" i="20"/>
  <c r="N766" i="20" s="1"/>
  <c r="N765" i="20" s="1"/>
  <c r="O768" i="20"/>
  <c r="O766" i="20" s="1"/>
  <c r="O765" i="20" s="1"/>
  <c r="P768" i="20"/>
  <c r="P766" i="20" s="1"/>
  <c r="P765" i="20" s="1"/>
  <c r="Q768" i="20"/>
  <c r="Q766" i="20" s="1"/>
  <c r="Q765" i="20" s="1"/>
  <c r="R768" i="20"/>
  <c r="R766" i="20" s="1"/>
  <c r="R765" i="20" s="1"/>
  <c r="S768" i="20"/>
  <c r="S766" i="20" s="1"/>
  <c r="S765" i="20" s="1"/>
  <c r="T768" i="20"/>
  <c r="T766" i="20" s="1"/>
  <c r="T765" i="20" s="1"/>
  <c r="U768" i="20"/>
  <c r="U766" i="20" s="1"/>
  <c r="U765" i="20" s="1"/>
  <c r="V768" i="20"/>
  <c r="V766" i="20" s="1"/>
  <c r="V765" i="20" s="1"/>
  <c r="X768" i="20"/>
  <c r="X766" i="20" s="1"/>
  <c r="X765" i="20" s="1"/>
  <c r="Y768" i="20"/>
  <c r="Y766" i="20" s="1"/>
  <c r="Y765" i="20" s="1"/>
  <c r="Z768" i="20"/>
  <c r="Z766" i="20" s="1"/>
  <c r="Z765" i="20" s="1"/>
  <c r="AA768" i="20"/>
  <c r="AA766" i="20" s="1"/>
  <c r="AA765" i="20" s="1"/>
  <c r="W775" i="20"/>
  <c r="AC775" i="20" s="1"/>
  <c r="W776" i="20"/>
  <c r="AC776" i="20" s="1"/>
  <c r="W777" i="20"/>
  <c r="AC777" i="20" s="1"/>
  <c r="W778" i="20"/>
  <c r="AC778" i="20" s="1"/>
  <c r="W779" i="20"/>
  <c r="AC779" i="20" s="1"/>
  <c r="W780" i="20"/>
  <c r="AC780" i="20" s="1"/>
  <c r="W781" i="20"/>
  <c r="AC781" i="20" s="1"/>
  <c r="W782" i="20"/>
  <c r="AC782" i="20" s="1"/>
  <c r="W783" i="20"/>
  <c r="AC783" i="20" s="1"/>
  <c r="W784" i="20"/>
  <c r="AC784" i="20" s="1"/>
  <c r="K773" i="20"/>
  <c r="K771" i="20" s="1"/>
  <c r="K770" i="20" s="1"/>
  <c r="L773" i="20"/>
  <c r="L771" i="20" s="1"/>
  <c r="L770" i="20" s="1"/>
  <c r="M773" i="20"/>
  <c r="M771" i="20" s="1"/>
  <c r="M770" i="20" s="1"/>
  <c r="O773" i="20"/>
  <c r="O771" i="20" s="1"/>
  <c r="O770" i="20" s="1"/>
  <c r="P773" i="20"/>
  <c r="P771" i="20" s="1"/>
  <c r="P770" i="20" s="1"/>
  <c r="S773" i="20"/>
  <c r="S771" i="20" s="1"/>
  <c r="S770" i="20" s="1"/>
  <c r="T773" i="20"/>
  <c r="T771" i="20" s="1"/>
  <c r="T770" i="20" s="1"/>
  <c r="V773" i="20"/>
  <c r="V771" i="20" s="1"/>
  <c r="V770" i="20" s="1"/>
  <c r="X773" i="20"/>
  <c r="X771" i="20" s="1"/>
  <c r="X770" i="20" s="1"/>
  <c r="Y773" i="20"/>
  <c r="Y771" i="20" s="1"/>
  <c r="Y770" i="20" s="1"/>
  <c r="Z773" i="20"/>
  <c r="Z771" i="20" s="1"/>
  <c r="Z770" i="20" s="1"/>
  <c r="AA773" i="20"/>
  <c r="AA771" i="20" s="1"/>
  <c r="AA770" i="20" s="1"/>
  <c r="W791" i="20"/>
  <c r="AC791" i="20" s="1"/>
  <c r="W792" i="20"/>
  <c r="AC792" i="20" s="1"/>
  <c r="W793" i="20"/>
  <c r="AC793" i="20" s="1"/>
  <c r="W794" i="20"/>
  <c r="AC794" i="20" s="1"/>
  <c r="W795" i="20"/>
  <c r="AC795" i="20" s="1"/>
  <c r="W796" i="20"/>
  <c r="AC796" i="20" s="1"/>
  <c r="K789" i="20"/>
  <c r="K787" i="20" s="1"/>
  <c r="K786" i="20" s="1"/>
  <c r="L789" i="20"/>
  <c r="L787" i="20" s="1"/>
  <c r="L786" i="20" s="1"/>
  <c r="M789" i="20"/>
  <c r="M787" i="20" s="1"/>
  <c r="M786" i="20" s="1"/>
  <c r="N789" i="20"/>
  <c r="N787" i="20" s="1"/>
  <c r="N786" i="20" s="1"/>
  <c r="O789" i="20"/>
  <c r="O787" i="20" s="1"/>
  <c r="O786" i="20" s="1"/>
  <c r="P789" i="20"/>
  <c r="P787" i="20" s="1"/>
  <c r="P786" i="20" s="1"/>
  <c r="Q789" i="20"/>
  <c r="Q787" i="20" s="1"/>
  <c r="Q786" i="20" s="1"/>
  <c r="R789" i="20"/>
  <c r="R787" i="20" s="1"/>
  <c r="R786" i="20" s="1"/>
  <c r="S789" i="20"/>
  <c r="S787" i="20" s="1"/>
  <c r="S786" i="20" s="1"/>
  <c r="T789" i="20"/>
  <c r="T787" i="20" s="1"/>
  <c r="T786" i="20" s="1"/>
  <c r="U789" i="20"/>
  <c r="U787" i="20" s="1"/>
  <c r="U786" i="20" s="1"/>
  <c r="V789" i="20"/>
  <c r="V787" i="20" s="1"/>
  <c r="V786" i="20" s="1"/>
  <c r="X789" i="20"/>
  <c r="X787" i="20" s="1"/>
  <c r="X786" i="20" s="1"/>
  <c r="Y789" i="20"/>
  <c r="Y787" i="20" s="1"/>
  <c r="Y786" i="20" s="1"/>
  <c r="Z789" i="20"/>
  <c r="Z787" i="20" s="1"/>
  <c r="Z786" i="20" s="1"/>
  <c r="AA789" i="20"/>
  <c r="AA787" i="20" s="1"/>
  <c r="AA786" i="20" s="1"/>
  <c r="W802" i="20"/>
  <c r="AC802" i="20" s="1"/>
  <c r="W803" i="20"/>
  <c r="AC803" i="20" s="1"/>
  <c r="W804" i="20"/>
  <c r="AC804" i="20" s="1"/>
  <c r="K800" i="20"/>
  <c r="K798" i="20" s="1"/>
  <c r="K797" i="20" s="1"/>
  <c r="L800" i="20"/>
  <c r="L798" i="20" s="1"/>
  <c r="L797" i="20" s="1"/>
  <c r="M800" i="20"/>
  <c r="M798" i="20" s="1"/>
  <c r="M797" i="20" s="1"/>
  <c r="N800" i="20"/>
  <c r="N798" i="20" s="1"/>
  <c r="N797" i="20" s="1"/>
  <c r="O800" i="20"/>
  <c r="O798" i="20" s="1"/>
  <c r="O797" i="20" s="1"/>
  <c r="P800" i="20"/>
  <c r="P798" i="20" s="1"/>
  <c r="P797" i="20" s="1"/>
  <c r="Q800" i="20"/>
  <c r="Q798" i="20" s="1"/>
  <c r="Q797" i="20" s="1"/>
  <c r="R800" i="20"/>
  <c r="R798" i="20" s="1"/>
  <c r="R797" i="20" s="1"/>
  <c r="S800" i="20"/>
  <c r="S798" i="20" s="1"/>
  <c r="S797" i="20" s="1"/>
  <c r="T800" i="20"/>
  <c r="T798" i="20" s="1"/>
  <c r="T797" i="20" s="1"/>
  <c r="U800" i="20"/>
  <c r="U798" i="20" s="1"/>
  <c r="U797" i="20" s="1"/>
  <c r="V800" i="20"/>
  <c r="V798" i="20" s="1"/>
  <c r="V797" i="20" s="1"/>
  <c r="X800" i="20"/>
  <c r="X798" i="20" s="1"/>
  <c r="X797" i="20" s="1"/>
  <c r="Y800" i="20"/>
  <c r="Y798" i="20" s="1"/>
  <c r="Y797" i="20" s="1"/>
  <c r="Z800" i="20"/>
  <c r="Z798" i="20" s="1"/>
  <c r="Z797" i="20" s="1"/>
  <c r="AA800" i="20"/>
  <c r="AA798" i="20" s="1"/>
  <c r="AA797" i="20" s="1"/>
  <c r="K809" i="20"/>
  <c r="K807" i="20" s="1"/>
  <c r="K806" i="20" s="1"/>
  <c r="L809" i="20"/>
  <c r="L807" i="20" s="1"/>
  <c r="L806" i="20" s="1"/>
  <c r="M809" i="20"/>
  <c r="M807" i="20" s="1"/>
  <c r="M806" i="20" s="1"/>
  <c r="N809" i="20"/>
  <c r="N807" i="20" s="1"/>
  <c r="N806" i="20" s="1"/>
  <c r="O809" i="20"/>
  <c r="O807" i="20" s="1"/>
  <c r="O806" i="20" s="1"/>
  <c r="P809" i="20"/>
  <c r="P807" i="20" s="1"/>
  <c r="P806" i="20" s="1"/>
  <c r="Q809" i="20"/>
  <c r="Q807" i="20" s="1"/>
  <c r="Q806" i="20" s="1"/>
  <c r="R809" i="20"/>
  <c r="R807" i="20" s="1"/>
  <c r="R806" i="20" s="1"/>
  <c r="S809" i="20"/>
  <c r="S807" i="20" s="1"/>
  <c r="S806" i="20" s="1"/>
  <c r="T809" i="20"/>
  <c r="T807" i="20" s="1"/>
  <c r="T806" i="20" s="1"/>
  <c r="U809" i="20"/>
  <c r="U807" i="20" s="1"/>
  <c r="U806" i="20" s="1"/>
  <c r="V809" i="20"/>
  <c r="V807" i="20" s="1"/>
  <c r="V806" i="20" s="1"/>
  <c r="X809" i="20"/>
  <c r="X807" i="20" s="1"/>
  <c r="X806" i="20" s="1"/>
  <c r="Y809" i="20"/>
  <c r="Y807" i="20" s="1"/>
  <c r="Y806" i="20" s="1"/>
  <c r="Z809" i="20"/>
  <c r="Z807" i="20" s="1"/>
  <c r="Z806" i="20" s="1"/>
  <c r="AA809" i="20"/>
  <c r="AA807" i="20" s="1"/>
  <c r="AA806" i="20" s="1"/>
  <c r="K816" i="20"/>
  <c r="K814" i="20" s="1"/>
  <c r="K813" i="20" s="1"/>
  <c r="L816" i="20"/>
  <c r="L814" i="20" s="1"/>
  <c r="L813" i="20" s="1"/>
  <c r="M816" i="20"/>
  <c r="M814" i="20" s="1"/>
  <c r="M813" i="20" s="1"/>
  <c r="N816" i="20"/>
  <c r="N814" i="20" s="1"/>
  <c r="N813" i="20" s="1"/>
  <c r="O816" i="20"/>
  <c r="O814" i="20" s="1"/>
  <c r="O813" i="20" s="1"/>
  <c r="P816" i="20"/>
  <c r="P814" i="20" s="1"/>
  <c r="P813" i="20" s="1"/>
  <c r="Q816" i="20"/>
  <c r="Q814" i="20" s="1"/>
  <c r="Q813" i="20" s="1"/>
  <c r="R816" i="20"/>
  <c r="R814" i="20" s="1"/>
  <c r="R813" i="20" s="1"/>
  <c r="S816" i="20"/>
  <c r="S814" i="20" s="1"/>
  <c r="S813" i="20" s="1"/>
  <c r="T816" i="20"/>
  <c r="T814" i="20" s="1"/>
  <c r="T813" i="20" s="1"/>
  <c r="U816" i="20"/>
  <c r="U814" i="20" s="1"/>
  <c r="U813" i="20" s="1"/>
  <c r="V816" i="20"/>
  <c r="V814" i="20" s="1"/>
  <c r="V813" i="20" s="1"/>
  <c r="X816" i="20"/>
  <c r="X814" i="20" s="1"/>
  <c r="X813" i="20" s="1"/>
  <c r="Y816" i="20"/>
  <c r="Y814" i="20" s="1"/>
  <c r="Y813" i="20" s="1"/>
  <c r="Z816" i="20"/>
  <c r="Z814" i="20" s="1"/>
  <c r="Z813" i="20" s="1"/>
  <c r="AA816" i="20"/>
  <c r="AA814" i="20" s="1"/>
  <c r="AA813" i="20" s="1"/>
  <c r="K822" i="20"/>
  <c r="K820" i="20" s="1"/>
  <c r="K819" i="20" s="1"/>
  <c r="L822" i="20"/>
  <c r="L820" i="20" s="1"/>
  <c r="L819" i="20" s="1"/>
  <c r="M822" i="20"/>
  <c r="M820" i="20" s="1"/>
  <c r="M819" i="20" s="1"/>
  <c r="N822" i="20"/>
  <c r="N820" i="20" s="1"/>
  <c r="N819" i="20" s="1"/>
  <c r="O822" i="20"/>
  <c r="O820" i="20" s="1"/>
  <c r="O819" i="20" s="1"/>
  <c r="P822" i="20"/>
  <c r="P820" i="20" s="1"/>
  <c r="P819" i="20" s="1"/>
  <c r="Q822" i="20"/>
  <c r="Q820" i="20" s="1"/>
  <c r="Q819" i="20" s="1"/>
  <c r="R822" i="20"/>
  <c r="R820" i="20" s="1"/>
  <c r="R819" i="20" s="1"/>
  <c r="S822" i="20"/>
  <c r="S820" i="20" s="1"/>
  <c r="S819" i="20" s="1"/>
  <c r="T822" i="20"/>
  <c r="T820" i="20" s="1"/>
  <c r="T819" i="20" s="1"/>
  <c r="U822" i="20"/>
  <c r="U820" i="20" s="1"/>
  <c r="U819" i="20" s="1"/>
  <c r="V822" i="20"/>
  <c r="V820" i="20" s="1"/>
  <c r="V819" i="20" s="1"/>
  <c r="X822" i="20"/>
  <c r="X820" i="20" s="1"/>
  <c r="X819" i="20" s="1"/>
  <c r="Y822" i="20"/>
  <c r="Y820" i="20" s="1"/>
  <c r="Y819" i="20" s="1"/>
  <c r="Z822" i="20"/>
  <c r="Z820" i="20" s="1"/>
  <c r="Z819" i="20" s="1"/>
  <c r="AA822" i="20"/>
  <c r="AA820" i="20" s="1"/>
  <c r="AA819" i="20" s="1"/>
  <c r="W834" i="20"/>
  <c r="AC834" i="20" s="1"/>
  <c r="W835" i="20"/>
  <c r="AC835" i="20" s="1"/>
  <c r="W836" i="20"/>
  <c r="AC836" i="20" s="1"/>
  <c r="W837" i="20"/>
  <c r="AC837" i="20" s="1"/>
  <c r="W838" i="20"/>
  <c r="AC838" i="20" s="1"/>
  <c r="W839" i="20"/>
  <c r="AC839" i="20" s="1"/>
  <c r="W840" i="20"/>
  <c r="AC840" i="20" s="1"/>
  <c r="W841" i="20"/>
  <c r="AC841" i="20" s="1"/>
  <c r="W833" i="20"/>
  <c r="K832" i="20"/>
  <c r="K830" i="20" s="1"/>
  <c r="K829" i="20" s="1"/>
  <c r="L832" i="20"/>
  <c r="L830" i="20" s="1"/>
  <c r="L829" i="20" s="1"/>
  <c r="M832" i="20"/>
  <c r="M830" i="20" s="1"/>
  <c r="M829" i="20" s="1"/>
  <c r="N832" i="20"/>
  <c r="N830" i="20" s="1"/>
  <c r="N829" i="20" s="1"/>
  <c r="O832" i="20"/>
  <c r="O830" i="20" s="1"/>
  <c r="O829" i="20" s="1"/>
  <c r="P832" i="20"/>
  <c r="P830" i="20" s="1"/>
  <c r="P829" i="20" s="1"/>
  <c r="Q832" i="20"/>
  <c r="Q830" i="20" s="1"/>
  <c r="Q829" i="20" s="1"/>
  <c r="R832" i="20"/>
  <c r="R830" i="20" s="1"/>
  <c r="R829" i="20" s="1"/>
  <c r="S832" i="20"/>
  <c r="S830" i="20" s="1"/>
  <c r="S829" i="20" s="1"/>
  <c r="T832" i="20"/>
  <c r="T830" i="20" s="1"/>
  <c r="T829" i="20" s="1"/>
  <c r="U832" i="20"/>
  <c r="U830" i="20" s="1"/>
  <c r="U829" i="20" s="1"/>
  <c r="X832" i="20"/>
  <c r="X830" i="20" s="1"/>
  <c r="X829" i="20" s="1"/>
  <c r="Y832" i="20"/>
  <c r="Y830" i="20" s="1"/>
  <c r="Y829" i="20" s="1"/>
  <c r="Z832" i="20"/>
  <c r="Z830" i="20" s="1"/>
  <c r="Z829" i="20" s="1"/>
  <c r="AA832" i="20"/>
  <c r="AA830" i="20" s="1"/>
  <c r="AA829" i="20" s="1"/>
  <c r="K845" i="20"/>
  <c r="L845" i="20"/>
  <c r="M845" i="20"/>
  <c r="N845" i="20"/>
  <c r="O845" i="20"/>
  <c r="P845" i="20"/>
  <c r="Q845" i="20"/>
  <c r="R845" i="20"/>
  <c r="S845" i="20"/>
  <c r="T845" i="20"/>
  <c r="U845" i="20"/>
  <c r="V845" i="20"/>
  <c r="X845" i="20"/>
  <c r="Y845" i="20"/>
  <c r="Z845" i="20"/>
  <c r="AA845" i="20"/>
  <c r="K851" i="20"/>
  <c r="L851" i="20"/>
  <c r="M851" i="20"/>
  <c r="N851" i="20"/>
  <c r="O851" i="20"/>
  <c r="P851" i="20"/>
  <c r="Q851" i="20"/>
  <c r="R851" i="20"/>
  <c r="S851" i="20"/>
  <c r="T851" i="20"/>
  <c r="U851" i="20"/>
  <c r="V851" i="20"/>
  <c r="X851" i="20"/>
  <c r="Y851" i="20"/>
  <c r="Z851" i="20"/>
  <c r="AA851" i="20"/>
  <c r="K859" i="20"/>
  <c r="K857" i="20" s="1"/>
  <c r="L859" i="20"/>
  <c r="L857" i="20" s="1"/>
  <c r="M859" i="20"/>
  <c r="M857" i="20" s="1"/>
  <c r="N859" i="20"/>
  <c r="N857" i="20" s="1"/>
  <c r="O859" i="20"/>
  <c r="O857" i="20" s="1"/>
  <c r="P859" i="20"/>
  <c r="P857" i="20" s="1"/>
  <c r="Q859" i="20"/>
  <c r="Q857" i="20" s="1"/>
  <c r="S859" i="20"/>
  <c r="S857" i="20" s="1"/>
  <c r="T859" i="20"/>
  <c r="T857" i="20" s="1"/>
  <c r="U859" i="20"/>
  <c r="U857" i="20" s="1"/>
  <c r="V859" i="20"/>
  <c r="V857" i="20" s="1"/>
  <c r="X859" i="20"/>
  <c r="X857" i="20" s="1"/>
  <c r="Y859" i="20"/>
  <c r="Y857" i="20" s="1"/>
  <c r="Z859" i="20"/>
  <c r="Z857" i="20" s="1"/>
  <c r="AA859" i="20"/>
  <c r="AA857" i="20" s="1"/>
  <c r="K865" i="20"/>
  <c r="K863" i="20" s="1"/>
  <c r="K862" i="20" s="1"/>
  <c r="L865" i="20"/>
  <c r="L863" i="20" s="1"/>
  <c r="L862" i="20" s="1"/>
  <c r="M865" i="20"/>
  <c r="M863" i="20" s="1"/>
  <c r="M862" i="20" s="1"/>
  <c r="N865" i="20"/>
  <c r="N863" i="20" s="1"/>
  <c r="N862" i="20" s="1"/>
  <c r="O865" i="20"/>
  <c r="O863" i="20" s="1"/>
  <c r="O862" i="20" s="1"/>
  <c r="P865" i="20"/>
  <c r="P863" i="20" s="1"/>
  <c r="P862" i="20" s="1"/>
  <c r="Q865" i="20"/>
  <c r="Q863" i="20" s="1"/>
  <c r="Q862" i="20" s="1"/>
  <c r="S865" i="20"/>
  <c r="S863" i="20" s="1"/>
  <c r="S862" i="20" s="1"/>
  <c r="T865" i="20"/>
  <c r="T863" i="20" s="1"/>
  <c r="T862" i="20" s="1"/>
  <c r="U865" i="20"/>
  <c r="U863" i="20" s="1"/>
  <c r="U862" i="20" s="1"/>
  <c r="V865" i="20"/>
  <c r="V863" i="20" s="1"/>
  <c r="V862" i="20" s="1"/>
  <c r="X865" i="20"/>
  <c r="X863" i="20" s="1"/>
  <c r="X862" i="20" s="1"/>
  <c r="Y865" i="20"/>
  <c r="Y863" i="20" s="1"/>
  <c r="Y862" i="20" s="1"/>
  <c r="Z865" i="20"/>
  <c r="Z863" i="20" s="1"/>
  <c r="Z862" i="20" s="1"/>
  <c r="AA865" i="20"/>
  <c r="AA863" i="20" s="1"/>
  <c r="AA862" i="20" s="1"/>
  <c r="K871" i="20"/>
  <c r="K869" i="20" s="1"/>
  <c r="K868" i="20" s="1"/>
  <c r="K867" i="20" s="1"/>
  <c r="L871" i="20"/>
  <c r="L869" i="20" s="1"/>
  <c r="L868" i="20" s="1"/>
  <c r="L867" i="20" s="1"/>
  <c r="M871" i="20"/>
  <c r="M869" i="20" s="1"/>
  <c r="M868" i="20" s="1"/>
  <c r="M867" i="20" s="1"/>
  <c r="O871" i="20"/>
  <c r="O869" i="20" s="1"/>
  <c r="O868" i="20" s="1"/>
  <c r="O867" i="20" s="1"/>
  <c r="P871" i="20"/>
  <c r="P869" i="20" s="1"/>
  <c r="P868" i="20" s="1"/>
  <c r="P867" i="20" s="1"/>
  <c r="Q871" i="20"/>
  <c r="Q869" i="20" s="1"/>
  <c r="Q868" i="20" s="1"/>
  <c r="Q867" i="20" s="1"/>
  <c r="S871" i="20"/>
  <c r="S869" i="20" s="1"/>
  <c r="S868" i="20" s="1"/>
  <c r="S867" i="20" s="1"/>
  <c r="T871" i="20"/>
  <c r="T869" i="20" s="1"/>
  <c r="T868" i="20" s="1"/>
  <c r="T867" i="20" s="1"/>
  <c r="U871" i="20"/>
  <c r="U869" i="20" s="1"/>
  <c r="U868" i="20" s="1"/>
  <c r="U867" i="20" s="1"/>
  <c r="X871" i="20"/>
  <c r="X869" i="20" s="1"/>
  <c r="X868" i="20" s="1"/>
  <c r="X867" i="20" s="1"/>
  <c r="Y871" i="20"/>
  <c r="Y869" i="20" s="1"/>
  <c r="Y868" i="20" s="1"/>
  <c r="Y867" i="20" s="1"/>
  <c r="Z871" i="20"/>
  <c r="Z869" i="20" s="1"/>
  <c r="Z868" i="20" s="1"/>
  <c r="Z867" i="20" s="1"/>
  <c r="AA871" i="20"/>
  <c r="AA869" i="20" s="1"/>
  <c r="AA868" i="20" s="1"/>
  <c r="AA867" i="20" s="1"/>
  <c r="K877" i="20"/>
  <c r="K875" i="20" s="1"/>
  <c r="K874" i="20" s="1"/>
  <c r="L877" i="20"/>
  <c r="L875" i="20" s="1"/>
  <c r="L874" i="20" s="1"/>
  <c r="M877" i="20"/>
  <c r="M875" i="20" s="1"/>
  <c r="M874" i="20" s="1"/>
  <c r="O877" i="20"/>
  <c r="O875" i="20" s="1"/>
  <c r="O874" i="20" s="1"/>
  <c r="P877" i="20"/>
  <c r="P875" i="20" s="1"/>
  <c r="P874" i="20" s="1"/>
  <c r="Q877" i="20"/>
  <c r="Q875" i="20" s="1"/>
  <c r="Q874" i="20" s="1"/>
  <c r="S877" i="20"/>
  <c r="S875" i="20" s="1"/>
  <c r="S874" i="20" s="1"/>
  <c r="T877" i="20"/>
  <c r="T875" i="20" s="1"/>
  <c r="T874" i="20" s="1"/>
  <c r="U877" i="20"/>
  <c r="U875" i="20" s="1"/>
  <c r="U874" i="20" s="1"/>
  <c r="V877" i="20"/>
  <c r="V875" i="20" s="1"/>
  <c r="V874" i="20" s="1"/>
  <c r="X877" i="20"/>
  <c r="X875" i="20" s="1"/>
  <c r="X874" i="20" s="1"/>
  <c r="Y877" i="20"/>
  <c r="Y875" i="20" s="1"/>
  <c r="Y874" i="20" s="1"/>
  <c r="Z877" i="20"/>
  <c r="Z875" i="20" s="1"/>
  <c r="Z874" i="20" s="1"/>
  <c r="AA877" i="20"/>
  <c r="AA875" i="20" s="1"/>
  <c r="AA874" i="20" s="1"/>
  <c r="K884" i="20"/>
  <c r="K882" i="20" s="1"/>
  <c r="L884" i="20"/>
  <c r="L882" i="20" s="1"/>
  <c r="M884" i="20"/>
  <c r="M882" i="20" s="1"/>
  <c r="O884" i="20"/>
  <c r="O882" i="20" s="1"/>
  <c r="P884" i="20"/>
  <c r="P882" i="20" s="1"/>
  <c r="Q884" i="20"/>
  <c r="Q882" i="20" s="1"/>
  <c r="S884" i="20"/>
  <c r="S882" i="20" s="1"/>
  <c r="T884" i="20"/>
  <c r="T882" i="20" s="1"/>
  <c r="U884" i="20"/>
  <c r="U882" i="20" s="1"/>
  <c r="V884" i="20"/>
  <c r="V882" i="20" s="1"/>
  <c r="X884" i="20"/>
  <c r="X882" i="20" s="1"/>
  <c r="Y884" i="20"/>
  <c r="Y882" i="20" s="1"/>
  <c r="Z884" i="20"/>
  <c r="Z882" i="20" s="1"/>
  <c r="AA884" i="20"/>
  <c r="AA882" i="20" s="1"/>
  <c r="K896" i="20"/>
  <c r="K894" i="20" s="1"/>
  <c r="K893" i="20" s="1"/>
  <c r="L896" i="20"/>
  <c r="L894" i="20" s="1"/>
  <c r="L893" i="20" s="1"/>
  <c r="M896" i="20"/>
  <c r="M894" i="20" s="1"/>
  <c r="M893" i="20" s="1"/>
  <c r="N896" i="20"/>
  <c r="N894" i="20" s="1"/>
  <c r="N893" i="20" s="1"/>
  <c r="O896" i="20"/>
  <c r="O894" i="20" s="1"/>
  <c r="O893" i="20" s="1"/>
  <c r="P896" i="20"/>
  <c r="P894" i="20" s="1"/>
  <c r="P893" i="20" s="1"/>
  <c r="Q896" i="20"/>
  <c r="Q894" i="20" s="1"/>
  <c r="Q893" i="20" s="1"/>
  <c r="R896" i="20"/>
  <c r="R894" i="20" s="1"/>
  <c r="R893" i="20" s="1"/>
  <c r="S896" i="20"/>
  <c r="S894" i="20" s="1"/>
  <c r="S893" i="20" s="1"/>
  <c r="T896" i="20"/>
  <c r="T894" i="20" s="1"/>
  <c r="T893" i="20" s="1"/>
  <c r="U896" i="20"/>
  <c r="U894" i="20" s="1"/>
  <c r="U893" i="20" s="1"/>
  <c r="V896" i="20"/>
  <c r="V894" i="20" s="1"/>
  <c r="V893" i="20" s="1"/>
  <c r="X896" i="20"/>
  <c r="X894" i="20" s="1"/>
  <c r="X893" i="20" s="1"/>
  <c r="Y896" i="20"/>
  <c r="Y894" i="20" s="1"/>
  <c r="Y893" i="20" s="1"/>
  <c r="Z896" i="20"/>
  <c r="Z894" i="20" s="1"/>
  <c r="Z893" i="20" s="1"/>
  <c r="AA896" i="20"/>
  <c r="AA894" i="20" s="1"/>
  <c r="AA893" i="20" s="1"/>
  <c r="K902" i="20"/>
  <c r="L902" i="20"/>
  <c r="M902" i="20"/>
  <c r="N902" i="20"/>
  <c r="O902" i="20"/>
  <c r="P902" i="20"/>
  <c r="Q902" i="20"/>
  <c r="R902" i="20"/>
  <c r="S902" i="20"/>
  <c r="T902" i="20"/>
  <c r="U902" i="20"/>
  <c r="V902" i="20"/>
  <c r="X902" i="20"/>
  <c r="Y902" i="20"/>
  <c r="Z902" i="20"/>
  <c r="AA902" i="20"/>
  <c r="K909" i="20"/>
  <c r="L909" i="20"/>
  <c r="M909" i="20"/>
  <c r="O909" i="20"/>
  <c r="P909" i="20"/>
  <c r="Q909" i="20"/>
  <c r="S909" i="20"/>
  <c r="T909" i="20"/>
  <c r="U909" i="20"/>
  <c r="V909" i="20"/>
  <c r="X909" i="20"/>
  <c r="Y909" i="20"/>
  <c r="Z909" i="20"/>
  <c r="AA909" i="20"/>
  <c r="K911" i="20"/>
  <c r="L911" i="20"/>
  <c r="O911" i="20"/>
  <c r="P911" i="20"/>
  <c r="Q911" i="20"/>
  <c r="S911" i="20"/>
  <c r="T911" i="20"/>
  <c r="U911" i="20"/>
  <c r="V911" i="20"/>
  <c r="X911" i="20"/>
  <c r="Y911" i="20"/>
  <c r="Z911" i="20"/>
  <c r="AA911" i="20"/>
  <c r="K918" i="20"/>
  <c r="K916" i="20" s="1"/>
  <c r="K915" i="20" s="1"/>
  <c r="L918" i="20"/>
  <c r="L916" i="20" s="1"/>
  <c r="L915" i="20" s="1"/>
  <c r="M918" i="20"/>
  <c r="M916" i="20" s="1"/>
  <c r="M915" i="20" s="1"/>
  <c r="N918" i="20"/>
  <c r="N916" i="20" s="1"/>
  <c r="N915" i="20" s="1"/>
  <c r="O918" i="20"/>
  <c r="O916" i="20" s="1"/>
  <c r="O915" i="20" s="1"/>
  <c r="P918" i="20"/>
  <c r="P916" i="20" s="1"/>
  <c r="P915" i="20" s="1"/>
  <c r="Q918" i="20"/>
  <c r="Q916" i="20" s="1"/>
  <c r="Q915" i="20" s="1"/>
  <c r="R918" i="20"/>
  <c r="R916" i="20" s="1"/>
  <c r="R915" i="20" s="1"/>
  <c r="S918" i="20"/>
  <c r="S916" i="20" s="1"/>
  <c r="S915" i="20" s="1"/>
  <c r="T918" i="20"/>
  <c r="T916" i="20" s="1"/>
  <c r="T915" i="20" s="1"/>
  <c r="U918" i="20"/>
  <c r="U916" i="20" s="1"/>
  <c r="U915" i="20" s="1"/>
  <c r="V918" i="20"/>
  <c r="V916" i="20" s="1"/>
  <c r="V915" i="20" s="1"/>
  <c r="X918" i="20"/>
  <c r="X916" i="20" s="1"/>
  <c r="X915" i="20" s="1"/>
  <c r="Y918" i="20"/>
  <c r="Y916" i="20" s="1"/>
  <c r="Y915" i="20" s="1"/>
  <c r="Z918" i="20"/>
  <c r="Z916" i="20" s="1"/>
  <c r="Z915" i="20" s="1"/>
  <c r="AA918" i="20"/>
  <c r="AA916" i="20" s="1"/>
  <c r="AA915" i="20" s="1"/>
  <c r="K923" i="20"/>
  <c r="K921" i="20" s="1"/>
  <c r="K920" i="20" s="1"/>
  <c r="L923" i="20"/>
  <c r="L921" i="20" s="1"/>
  <c r="L920" i="20" s="1"/>
  <c r="M923" i="20"/>
  <c r="M921" i="20" s="1"/>
  <c r="M920" i="20" s="1"/>
  <c r="N923" i="20"/>
  <c r="N921" i="20" s="1"/>
  <c r="N920" i="20" s="1"/>
  <c r="O923" i="20"/>
  <c r="O921" i="20" s="1"/>
  <c r="O920" i="20" s="1"/>
  <c r="P923" i="20"/>
  <c r="P921" i="20" s="1"/>
  <c r="P920" i="20" s="1"/>
  <c r="Q923" i="20"/>
  <c r="Q921" i="20" s="1"/>
  <c r="Q920" i="20" s="1"/>
  <c r="R923" i="20"/>
  <c r="R921" i="20" s="1"/>
  <c r="R920" i="20" s="1"/>
  <c r="S923" i="20"/>
  <c r="S921" i="20" s="1"/>
  <c r="S920" i="20" s="1"/>
  <c r="T923" i="20"/>
  <c r="T921" i="20" s="1"/>
  <c r="T920" i="20" s="1"/>
  <c r="U923" i="20"/>
  <c r="U921" i="20" s="1"/>
  <c r="U920" i="20" s="1"/>
  <c r="V923" i="20"/>
  <c r="V921" i="20" s="1"/>
  <c r="V920" i="20" s="1"/>
  <c r="X923" i="20"/>
  <c r="X921" i="20" s="1"/>
  <c r="X920" i="20" s="1"/>
  <c r="Y923" i="20"/>
  <c r="Y921" i="20" s="1"/>
  <c r="Y920" i="20" s="1"/>
  <c r="Z923" i="20"/>
  <c r="Z921" i="20" s="1"/>
  <c r="Z920" i="20" s="1"/>
  <c r="AA923" i="20"/>
  <c r="AA921" i="20" s="1"/>
  <c r="AA920" i="20" s="1"/>
  <c r="K928" i="20"/>
  <c r="K926" i="20" s="1"/>
  <c r="K925" i="20" s="1"/>
  <c r="L928" i="20"/>
  <c r="L926" i="20" s="1"/>
  <c r="L925" i="20" s="1"/>
  <c r="M928" i="20"/>
  <c r="M926" i="20" s="1"/>
  <c r="M925" i="20" s="1"/>
  <c r="N928" i="20"/>
  <c r="N926" i="20" s="1"/>
  <c r="N925" i="20" s="1"/>
  <c r="O928" i="20"/>
  <c r="O926" i="20" s="1"/>
  <c r="O925" i="20" s="1"/>
  <c r="P928" i="20"/>
  <c r="P926" i="20" s="1"/>
  <c r="P925" i="20" s="1"/>
  <c r="Q928" i="20"/>
  <c r="Q926" i="20" s="1"/>
  <c r="Q925" i="20" s="1"/>
  <c r="R928" i="20"/>
  <c r="R926" i="20" s="1"/>
  <c r="R925" i="20" s="1"/>
  <c r="S928" i="20"/>
  <c r="S926" i="20" s="1"/>
  <c r="S925" i="20" s="1"/>
  <c r="T928" i="20"/>
  <c r="T926" i="20" s="1"/>
  <c r="T925" i="20" s="1"/>
  <c r="U928" i="20"/>
  <c r="U926" i="20" s="1"/>
  <c r="U925" i="20" s="1"/>
  <c r="V928" i="20"/>
  <c r="V926" i="20" s="1"/>
  <c r="V925" i="20" s="1"/>
  <c r="X928" i="20"/>
  <c r="X926" i="20" s="1"/>
  <c r="X925" i="20" s="1"/>
  <c r="Y928" i="20"/>
  <c r="Y926" i="20" s="1"/>
  <c r="Y925" i="20" s="1"/>
  <c r="Z928" i="20"/>
  <c r="Z926" i="20" s="1"/>
  <c r="Z925" i="20" s="1"/>
  <c r="AA928" i="20"/>
  <c r="AA926" i="20" s="1"/>
  <c r="AA925" i="20" s="1"/>
  <c r="K933" i="20"/>
  <c r="K931" i="20" s="1"/>
  <c r="K930" i="20" s="1"/>
  <c r="L933" i="20"/>
  <c r="L931" i="20" s="1"/>
  <c r="L930" i="20" s="1"/>
  <c r="M933" i="20"/>
  <c r="M931" i="20" s="1"/>
  <c r="M930" i="20" s="1"/>
  <c r="N933" i="20"/>
  <c r="N931" i="20" s="1"/>
  <c r="N930" i="20" s="1"/>
  <c r="O933" i="20"/>
  <c r="O931" i="20" s="1"/>
  <c r="O930" i="20" s="1"/>
  <c r="P933" i="20"/>
  <c r="P931" i="20" s="1"/>
  <c r="P930" i="20" s="1"/>
  <c r="Q933" i="20"/>
  <c r="Q931" i="20" s="1"/>
  <c r="Q930" i="20" s="1"/>
  <c r="R933" i="20"/>
  <c r="R931" i="20" s="1"/>
  <c r="R930" i="20" s="1"/>
  <c r="S933" i="20"/>
  <c r="S931" i="20" s="1"/>
  <c r="S930" i="20" s="1"/>
  <c r="T933" i="20"/>
  <c r="T931" i="20" s="1"/>
  <c r="T930" i="20" s="1"/>
  <c r="U933" i="20"/>
  <c r="U931" i="20" s="1"/>
  <c r="U930" i="20" s="1"/>
  <c r="V933" i="20"/>
  <c r="V931" i="20" s="1"/>
  <c r="V930" i="20" s="1"/>
  <c r="X933" i="20"/>
  <c r="X931" i="20" s="1"/>
  <c r="X930" i="20" s="1"/>
  <c r="Y933" i="20"/>
  <c r="Y931" i="20" s="1"/>
  <c r="Y930" i="20" s="1"/>
  <c r="Z933" i="20"/>
  <c r="Z931" i="20" s="1"/>
  <c r="Z930" i="20" s="1"/>
  <c r="AA933" i="20"/>
  <c r="AA931" i="20" s="1"/>
  <c r="AA930" i="20" s="1"/>
  <c r="K948" i="20"/>
  <c r="L948" i="20"/>
  <c r="M948" i="20"/>
  <c r="O948" i="20"/>
  <c r="P948" i="20"/>
  <c r="Q948" i="20"/>
  <c r="S948" i="20"/>
  <c r="T948" i="20"/>
  <c r="U948" i="20"/>
  <c r="V948" i="20"/>
  <c r="X948" i="20"/>
  <c r="Y948" i="20"/>
  <c r="Z948" i="20"/>
  <c r="AA948" i="20"/>
  <c r="K952" i="20"/>
  <c r="L952" i="20"/>
  <c r="M952" i="20"/>
  <c r="O952" i="20"/>
  <c r="P952" i="20"/>
  <c r="Q952" i="20"/>
  <c r="S952" i="20"/>
  <c r="T952" i="20"/>
  <c r="U952" i="20"/>
  <c r="V952" i="20"/>
  <c r="X952" i="20"/>
  <c r="Y952" i="20"/>
  <c r="Z952" i="20"/>
  <c r="AA952" i="20"/>
  <c r="K956" i="20"/>
  <c r="K955" i="20" s="1"/>
  <c r="K954" i="20" s="1"/>
  <c r="L956" i="20"/>
  <c r="L955" i="20" s="1"/>
  <c r="L954" i="20" s="1"/>
  <c r="O956" i="20"/>
  <c r="O955" i="20" s="1"/>
  <c r="O954" i="20" s="1"/>
  <c r="P956" i="20"/>
  <c r="P955" i="20" s="1"/>
  <c r="P954" i="20" s="1"/>
  <c r="Q956" i="20"/>
  <c r="Q955" i="20" s="1"/>
  <c r="Q954" i="20" s="1"/>
  <c r="S956" i="20"/>
  <c r="S955" i="20" s="1"/>
  <c r="S954" i="20" s="1"/>
  <c r="T956" i="20"/>
  <c r="T955" i="20" s="1"/>
  <c r="T954" i="20" s="1"/>
  <c r="U956" i="20"/>
  <c r="U955" i="20" s="1"/>
  <c r="U954" i="20" s="1"/>
  <c r="V956" i="20"/>
  <c r="V955" i="20" s="1"/>
  <c r="V954" i="20" s="1"/>
  <c r="X956" i="20"/>
  <c r="X955" i="20" s="1"/>
  <c r="X954" i="20" s="1"/>
  <c r="Y956" i="20"/>
  <c r="Y955" i="20" s="1"/>
  <c r="Y954" i="20" s="1"/>
  <c r="Z956" i="20"/>
  <c r="Z955" i="20" s="1"/>
  <c r="Z954" i="20" s="1"/>
  <c r="AA956" i="20"/>
  <c r="AA955" i="20" s="1"/>
  <c r="AA954" i="20" s="1"/>
  <c r="K961" i="20"/>
  <c r="K959" i="20" s="1"/>
  <c r="K958" i="20" s="1"/>
  <c r="L961" i="20"/>
  <c r="L959" i="20" s="1"/>
  <c r="L958" i="20" s="1"/>
  <c r="M961" i="20"/>
  <c r="M959" i="20" s="1"/>
  <c r="M958" i="20" s="1"/>
  <c r="O961" i="20"/>
  <c r="O959" i="20" s="1"/>
  <c r="O958" i="20" s="1"/>
  <c r="P961" i="20"/>
  <c r="P959" i="20" s="1"/>
  <c r="P958" i="20" s="1"/>
  <c r="Q961" i="20"/>
  <c r="Q959" i="20" s="1"/>
  <c r="Q958" i="20" s="1"/>
  <c r="S961" i="20"/>
  <c r="S959" i="20" s="1"/>
  <c r="S958" i="20" s="1"/>
  <c r="T961" i="20"/>
  <c r="T959" i="20" s="1"/>
  <c r="T958" i="20" s="1"/>
  <c r="U961" i="20"/>
  <c r="U959" i="20" s="1"/>
  <c r="U958" i="20" s="1"/>
  <c r="V961" i="20"/>
  <c r="V959" i="20" s="1"/>
  <c r="V958" i="20" s="1"/>
  <c r="X961" i="20"/>
  <c r="X959" i="20" s="1"/>
  <c r="X958" i="20" s="1"/>
  <c r="Y961" i="20"/>
  <c r="Y959" i="20" s="1"/>
  <c r="Y958" i="20" s="1"/>
  <c r="Z961" i="20"/>
  <c r="Z959" i="20" s="1"/>
  <c r="Z958" i="20" s="1"/>
  <c r="AA961" i="20"/>
  <c r="AA959" i="20" s="1"/>
  <c r="AA958" i="20" s="1"/>
  <c r="K966" i="20"/>
  <c r="K964" i="20" s="1"/>
  <c r="K963" i="20" s="1"/>
  <c r="L966" i="20"/>
  <c r="L964" i="20" s="1"/>
  <c r="L963" i="20" s="1"/>
  <c r="M966" i="20"/>
  <c r="M964" i="20" s="1"/>
  <c r="M963" i="20" s="1"/>
  <c r="N966" i="20"/>
  <c r="N964" i="20" s="1"/>
  <c r="N963" i="20" s="1"/>
  <c r="O966" i="20"/>
  <c r="O964" i="20" s="1"/>
  <c r="O963" i="20" s="1"/>
  <c r="P966" i="20"/>
  <c r="P964" i="20" s="1"/>
  <c r="P963" i="20" s="1"/>
  <c r="Q966" i="20"/>
  <c r="Q964" i="20" s="1"/>
  <c r="Q963" i="20" s="1"/>
  <c r="R966" i="20"/>
  <c r="R964" i="20" s="1"/>
  <c r="R963" i="20" s="1"/>
  <c r="S966" i="20"/>
  <c r="S964" i="20" s="1"/>
  <c r="S963" i="20" s="1"/>
  <c r="T966" i="20"/>
  <c r="T964" i="20" s="1"/>
  <c r="T963" i="20" s="1"/>
  <c r="U966" i="20"/>
  <c r="U964" i="20" s="1"/>
  <c r="U963" i="20" s="1"/>
  <c r="V966" i="20"/>
  <c r="V964" i="20" s="1"/>
  <c r="V963" i="20" s="1"/>
  <c r="X966" i="20"/>
  <c r="X964" i="20" s="1"/>
  <c r="X963" i="20" s="1"/>
  <c r="Y966" i="20"/>
  <c r="Y964" i="20" s="1"/>
  <c r="Y963" i="20" s="1"/>
  <c r="Z966" i="20"/>
  <c r="Z964" i="20" s="1"/>
  <c r="Z963" i="20" s="1"/>
  <c r="AA966" i="20"/>
  <c r="AA964" i="20" s="1"/>
  <c r="AA963" i="20" s="1"/>
  <c r="K975" i="20"/>
  <c r="L975" i="20"/>
  <c r="M975" i="20"/>
  <c r="M973" i="20" s="1"/>
  <c r="M972" i="20" s="1"/>
  <c r="N975" i="20"/>
  <c r="N973" i="20" s="1"/>
  <c r="N972" i="20" s="1"/>
  <c r="O975" i="20"/>
  <c r="O973" i="20" s="1"/>
  <c r="O972" i="20" s="1"/>
  <c r="P975" i="20"/>
  <c r="P973" i="20" s="1"/>
  <c r="P972" i="20" s="1"/>
  <c r="Q975" i="20"/>
  <c r="Q973" i="20" s="1"/>
  <c r="Q972" i="20" s="1"/>
  <c r="R975" i="20"/>
  <c r="R973" i="20" s="1"/>
  <c r="R972" i="20" s="1"/>
  <c r="S975" i="20"/>
  <c r="S973" i="20" s="1"/>
  <c r="S972" i="20" s="1"/>
  <c r="T975" i="20"/>
  <c r="T973" i="20" s="1"/>
  <c r="T972" i="20" s="1"/>
  <c r="U975" i="20"/>
  <c r="U973" i="20" s="1"/>
  <c r="U972" i="20" s="1"/>
  <c r="V975" i="20"/>
  <c r="V973" i="20" s="1"/>
  <c r="V972" i="20" s="1"/>
  <c r="X975" i="20"/>
  <c r="X973" i="20" s="1"/>
  <c r="X972" i="20" s="1"/>
  <c r="Y975" i="20"/>
  <c r="Y973" i="20" s="1"/>
  <c r="Y972" i="20" s="1"/>
  <c r="Z975" i="20"/>
  <c r="Z973" i="20" s="1"/>
  <c r="Z972" i="20" s="1"/>
  <c r="AA975" i="20"/>
  <c r="AA973" i="20" s="1"/>
  <c r="AA972" i="20" s="1"/>
  <c r="K980" i="20"/>
  <c r="L980" i="20"/>
  <c r="M980" i="20"/>
  <c r="M978" i="20" s="1"/>
  <c r="N980" i="20"/>
  <c r="N978" i="20" s="1"/>
  <c r="O980" i="20"/>
  <c r="O978" i="20" s="1"/>
  <c r="P980" i="20"/>
  <c r="P978" i="20" s="1"/>
  <c r="Q980" i="20"/>
  <c r="Q978" i="20" s="1"/>
  <c r="R980" i="20"/>
  <c r="R978" i="20" s="1"/>
  <c r="S980" i="20"/>
  <c r="S978" i="20" s="1"/>
  <c r="T980" i="20"/>
  <c r="T978" i="20" s="1"/>
  <c r="U980" i="20"/>
  <c r="U978" i="20" s="1"/>
  <c r="V980" i="20"/>
  <c r="V978" i="20" s="1"/>
  <c r="X980" i="20"/>
  <c r="X978" i="20" s="1"/>
  <c r="Y980" i="20"/>
  <c r="Y978" i="20" s="1"/>
  <c r="Z980" i="20"/>
  <c r="Z978" i="20" s="1"/>
  <c r="AA980" i="20"/>
  <c r="AA978" i="20" s="1"/>
  <c r="K994" i="20"/>
  <c r="K993" i="20" s="1"/>
  <c r="K992" i="20" s="1"/>
  <c r="L994" i="20"/>
  <c r="L993" i="20" s="1"/>
  <c r="L992" i="20" s="1"/>
  <c r="M994" i="20"/>
  <c r="M993" i="20" s="1"/>
  <c r="M992" i="20" s="1"/>
  <c r="N994" i="20"/>
  <c r="N993" i="20" s="1"/>
  <c r="N992" i="20" s="1"/>
  <c r="O994" i="20"/>
  <c r="O993" i="20" s="1"/>
  <c r="O992" i="20" s="1"/>
  <c r="P994" i="20"/>
  <c r="P993" i="20" s="1"/>
  <c r="P992" i="20" s="1"/>
  <c r="Q994" i="20"/>
  <c r="Q993" i="20" s="1"/>
  <c r="Q992" i="20" s="1"/>
  <c r="R994" i="20"/>
  <c r="R993" i="20" s="1"/>
  <c r="R992" i="20" s="1"/>
  <c r="S994" i="20"/>
  <c r="S993" i="20" s="1"/>
  <c r="S992" i="20" s="1"/>
  <c r="T994" i="20"/>
  <c r="T993" i="20" s="1"/>
  <c r="T992" i="20" s="1"/>
  <c r="U994" i="20"/>
  <c r="U993" i="20" s="1"/>
  <c r="U992" i="20" s="1"/>
  <c r="V994" i="20"/>
  <c r="V993" i="20" s="1"/>
  <c r="V992" i="20" s="1"/>
  <c r="X994" i="20"/>
  <c r="X993" i="20" s="1"/>
  <c r="X992" i="20" s="1"/>
  <c r="Y994" i="20"/>
  <c r="Y993" i="20" s="1"/>
  <c r="Y992" i="20" s="1"/>
  <c r="Z994" i="20"/>
  <c r="Z993" i="20" s="1"/>
  <c r="Z992" i="20" s="1"/>
  <c r="AA994" i="20"/>
  <c r="AA993" i="20" s="1"/>
  <c r="AA992" i="20" s="1"/>
  <c r="W1005" i="20"/>
  <c r="AC1005" i="20" s="1"/>
  <c r="S640" i="20" l="1"/>
  <c r="S639" i="20" s="1"/>
  <c r="V640" i="20"/>
  <c r="V639" i="20" s="1"/>
  <c r="J616" i="20"/>
  <c r="J615" i="20" s="1"/>
  <c r="J614" i="20" s="1"/>
  <c r="AC617" i="20"/>
  <c r="W616" i="20"/>
  <c r="AC616" i="20" s="1"/>
  <c r="AC752" i="20"/>
  <c r="AB937" i="20"/>
  <c r="AB873" i="20"/>
  <c r="Q640" i="20"/>
  <c r="Q639" i="20" s="1"/>
  <c r="P640" i="20"/>
  <c r="P639" i="20" s="1"/>
  <c r="Y640" i="20"/>
  <c r="Y639" i="20" s="1"/>
  <c r="AA640" i="20"/>
  <c r="AA639" i="20" s="1"/>
  <c r="N640" i="20"/>
  <c r="N639" i="20" s="1"/>
  <c r="Z640" i="20"/>
  <c r="Z639" i="20" s="1"/>
  <c r="W679" i="20"/>
  <c r="AC679" i="20" s="1"/>
  <c r="AC680" i="20"/>
  <c r="O640" i="20"/>
  <c r="O639" i="20" s="1"/>
  <c r="AC833" i="20"/>
  <c r="W832" i="20"/>
  <c r="AC619" i="20"/>
  <c r="AC128" i="20"/>
  <c r="W126" i="20"/>
  <c r="AC594" i="20"/>
  <c r="W593" i="20"/>
  <c r="AC593" i="20" s="1"/>
  <c r="AC327" i="20"/>
  <c r="W326" i="20"/>
  <c r="AC205" i="20"/>
  <c r="W204" i="20"/>
  <c r="AC67" i="20"/>
  <c r="W88" i="20"/>
  <c r="AC88" i="20" s="1"/>
  <c r="AC587" i="20"/>
  <c r="W585" i="20"/>
  <c r="T947" i="20"/>
  <c r="T946" i="20" s="1"/>
  <c r="X640" i="20"/>
  <c r="X639" i="20" s="1"/>
  <c r="X65" i="20"/>
  <c r="X64" i="20" s="1"/>
  <c r="U640" i="20"/>
  <c r="U639" i="20" s="1"/>
  <c r="AA901" i="20"/>
  <c r="AA900" i="20" s="1"/>
  <c r="Z901" i="20"/>
  <c r="Z900" i="20" s="1"/>
  <c r="M901" i="20"/>
  <c r="M900" i="20" s="1"/>
  <c r="W259" i="20"/>
  <c r="AC260" i="20"/>
  <c r="V901" i="20"/>
  <c r="V900" i="20" s="1"/>
  <c r="W869" i="20"/>
  <c r="AC871" i="20"/>
  <c r="W269" i="20"/>
  <c r="AC270" i="20"/>
  <c r="W16" i="20"/>
  <c r="AC16" i="20" s="1"/>
  <c r="AC17" i="20"/>
  <c r="X901" i="20"/>
  <c r="X900" i="20" s="1"/>
  <c r="U901" i="20"/>
  <c r="U900" i="20" s="1"/>
  <c r="W939" i="20"/>
  <c r="AC941" i="20"/>
  <c r="Y901" i="20"/>
  <c r="Y900" i="20" s="1"/>
  <c r="T901" i="20"/>
  <c r="T900" i="20" s="1"/>
  <c r="W253" i="20"/>
  <c r="AC254" i="20"/>
  <c r="K901" i="20"/>
  <c r="K900" i="20" s="1"/>
  <c r="S901" i="20"/>
  <c r="S900" i="20" s="1"/>
  <c r="W200" i="20"/>
  <c r="AC201" i="20"/>
  <c r="R901" i="20"/>
  <c r="R900" i="20" s="1"/>
  <c r="Q901" i="20"/>
  <c r="Q900" i="20" s="1"/>
  <c r="P901" i="20"/>
  <c r="P900" i="20" s="1"/>
  <c r="L901" i="20"/>
  <c r="L900" i="20" s="1"/>
  <c r="O901" i="20"/>
  <c r="O900" i="20" s="1"/>
  <c r="N901" i="20"/>
  <c r="N900" i="20" s="1"/>
  <c r="W273" i="20"/>
  <c r="AC275" i="20"/>
  <c r="AC943" i="20"/>
  <c r="P592" i="20"/>
  <c r="P591" i="20" s="1"/>
  <c r="K419" i="20"/>
  <c r="K417" i="20" s="1"/>
  <c r="K416" i="20" s="1"/>
  <c r="J640" i="20"/>
  <c r="J639" i="20" s="1"/>
  <c r="Z419" i="20"/>
  <c r="Z417" i="20" s="1"/>
  <c r="Z416" i="20" s="1"/>
  <c r="O188" i="20"/>
  <c r="O187" i="20" s="1"/>
  <c r="J675" i="20"/>
  <c r="J674" i="20" s="1"/>
  <c r="V947" i="20"/>
  <c r="V946" i="20" s="1"/>
  <c r="J460" i="20"/>
  <c r="J458" i="20" s="1"/>
  <c r="J457" i="20" s="1"/>
  <c r="K675" i="20"/>
  <c r="K674" i="20" s="1"/>
  <c r="O908" i="20"/>
  <c r="O907" i="20" s="1"/>
  <c r="J85" i="20"/>
  <c r="J84" i="20" s="1"/>
  <c r="J908" i="20"/>
  <c r="J907" i="20" s="1"/>
  <c r="J596" i="20"/>
  <c r="J592" i="20" s="1"/>
  <c r="J591" i="20" s="1"/>
  <c r="J440" i="20"/>
  <c r="J438" i="20" s="1"/>
  <c r="J437" i="20" s="1"/>
  <c r="J193" i="20"/>
  <c r="J189" i="20"/>
  <c r="J419" i="20"/>
  <c r="J417" i="20" s="1"/>
  <c r="J416" i="20" s="1"/>
  <c r="J622" i="20"/>
  <c r="J621" i="20" s="1"/>
  <c r="S65" i="20"/>
  <c r="S64" i="20" s="1"/>
  <c r="J709" i="20"/>
  <c r="J139" i="20"/>
  <c r="J138" i="20" s="1"/>
  <c r="J54" i="20"/>
  <c r="J52" i="20" s="1"/>
  <c r="J51" i="20" s="1"/>
  <c r="J737" i="20"/>
  <c r="J736" i="20" s="1"/>
  <c r="J27" i="20"/>
  <c r="J26" i="20" s="1"/>
  <c r="J15" i="20"/>
  <c r="J14" i="20" s="1"/>
  <c r="J469" i="20"/>
  <c r="J467" i="20" s="1"/>
  <c r="J466" i="20" s="1"/>
  <c r="J844" i="20"/>
  <c r="J843" i="20" s="1"/>
  <c r="K947" i="20"/>
  <c r="K946" i="20" s="1"/>
  <c r="V908" i="20"/>
  <c r="V907" i="20" s="1"/>
  <c r="O675" i="20"/>
  <c r="O674" i="20" s="1"/>
  <c r="P469" i="20"/>
  <c r="P467" i="20" s="1"/>
  <c r="N419" i="20"/>
  <c r="N417" i="20" s="1"/>
  <c r="N416" i="20" s="1"/>
  <c r="AA947" i="20"/>
  <c r="AA946" i="20" s="1"/>
  <c r="O440" i="20"/>
  <c r="O438" i="20" s="1"/>
  <c r="O437" i="20" s="1"/>
  <c r="R622" i="20"/>
  <c r="R621" i="20" s="1"/>
  <c r="J725" i="20"/>
  <c r="J723" i="20" s="1"/>
  <c r="J722" i="20" s="1"/>
  <c r="J948" i="20"/>
  <c r="J947" i="20" s="1"/>
  <c r="J946" i="20" s="1"/>
  <c r="J945" i="20" s="1"/>
  <c r="Q15" i="20"/>
  <c r="Q14" i="20" s="1"/>
  <c r="S947" i="20"/>
  <c r="S946" i="20" s="1"/>
  <c r="Z27" i="20"/>
  <c r="Z26" i="20" s="1"/>
  <c r="AA908" i="20"/>
  <c r="AA907" i="20" s="1"/>
  <c r="V469" i="20"/>
  <c r="V467" i="20" s="1"/>
  <c r="S331" i="20"/>
  <c r="S330" i="20" s="1"/>
  <c r="Z203" i="20"/>
  <c r="Z202" i="20" s="1"/>
  <c r="M203" i="20"/>
  <c r="M202" i="20" s="1"/>
  <c r="X188" i="20"/>
  <c r="X187" i="20" s="1"/>
  <c r="U675" i="20"/>
  <c r="U674" i="20" s="1"/>
  <c r="P27" i="20"/>
  <c r="P26" i="20" s="1"/>
  <c r="R419" i="20"/>
  <c r="R417" i="20" s="1"/>
  <c r="R416" i="20" s="1"/>
  <c r="X203" i="20"/>
  <c r="X202" i="20" s="1"/>
  <c r="K203" i="20"/>
  <c r="K202" i="20" s="1"/>
  <c r="V15" i="20"/>
  <c r="V14" i="20" s="1"/>
  <c r="J230" i="20"/>
  <c r="L640" i="20"/>
  <c r="L639" i="20" s="1"/>
  <c r="S675" i="20"/>
  <c r="S674" i="20" s="1"/>
  <c r="T188" i="20"/>
  <c r="T187" i="20" s="1"/>
  <c r="T186" i="20" s="1"/>
  <c r="L27" i="20"/>
  <c r="L26" i="20" s="1"/>
  <c r="Q737" i="20"/>
  <c r="Q736" i="20" s="1"/>
  <c r="Q675" i="20"/>
  <c r="Q674" i="20" s="1"/>
  <c r="S188" i="20"/>
  <c r="S187" i="20" s="1"/>
  <c r="Q188" i="20"/>
  <c r="Q187" i="20" s="1"/>
  <c r="Q186" i="20" s="1"/>
  <c r="J331" i="20"/>
  <c r="J330" i="20" s="1"/>
  <c r="P188" i="20"/>
  <c r="P187" i="20" s="1"/>
  <c r="J166" i="20"/>
  <c r="J504" i="20"/>
  <c r="J503" i="20" s="1"/>
  <c r="J502" i="20" s="1"/>
  <c r="K640" i="20"/>
  <c r="K639" i="20" s="1"/>
  <c r="AA188" i="20"/>
  <c r="AA187" i="20" s="1"/>
  <c r="L188" i="20"/>
  <c r="L187" i="20" s="1"/>
  <c r="O65" i="20"/>
  <c r="O64" i="20" s="1"/>
  <c r="J877" i="20"/>
  <c r="J875" i="20" s="1"/>
  <c r="J874" i="20" s="1"/>
  <c r="J712" i="20"/>
  <c r="J449" i="20"/>
  <c r="J447" i="20" s="1"/>
  <c r="J446" i="20" s="1"/>
  <c r="J240" i="20"/>
  <c r="O203" i="20"/>
  <c r="O202" i="20" s="1"/>
  <c r="J65" i="20"/>
  <c r="J64" i="20" s="1"/>
  <c r="Z15" i="20"/>
  <c r="Z14" i="20" s="1"/>
  <c r="J287" i="20"/>
  <c r="M139" i="20"/>
  <c r="M138" i="20" s="1"/>
  <c r="T27" i="20"/>
  <c r="T26" i="20" s="1"/>
  <c r="Z675" i="20"/>
  <c r="Z674" i="20" s="1"/>
  <c r="X229" i="20"/>
  <c r="X228" i="20" s="1"/>
  <c r="X209" i="20" s="1"/>
  <c r="AA460" i="20"/>
  <c r="AA458" i="20" s="1"/>
  <c r="AA457" i="20" s="1"/>
  <c r="T65" i="20"/>
  <c r="T64" i="20" s="1"/>
  <c r="O592" i="20"/>
  <c r="O591" i="20" s="1"/>
  <c r="U229" i="20"/>
  <c r="U228" i="20" s="1"/>
  <c r="U209" i="20" s="1"/>
  <c r="X503" i="20"/>
  <c r="X502" i="20" s="1"/>
  <c r="X460" i="20"/>
  <c r="X458" i="20" s="1"/>
  <c r="X457" i="20" s="1"/>
  <c r="S229" i="20"/>
  <c r="S228" i="20" s="1"/>
  <c r="S209" i="20" s="1"/>
  <c r="L503" i="20"/>
  <c r="L502" i="20" s="1"/>
  <c r="Q229" i="20"/>
  <c r="Q228" i="20" s="1"/>
  <c r="Q209" i="20" s="1"/>
  <c r="U15" i="20"/>
  <c r="U14" i="20" s="1"/>
  <c r="M469" i="20"/>
  <c r="M467" i="20" s="1"/>
  <c r="P229" i="20"/>
  <c r="P228" i="20" s="1"/>
  <c r="P209" i="20" s="1"/>
  <c r="Y85" i="20"/>
  <c r="Y84" i="20" s="1"/>
  <c r="Q947" i="20"/>
  <c r="Q946" i="20" s="1"/>
  <c r="M675" i="20"/>
  <c r="M674" i="20" s="1"/>
  <c r="O139" i="20"/>
  <c r="O138" i="20" s="1"/>
  <c r="P419" i="20"/>
  <c r="P417" i="20" s="1"/>
  <c r="P416" i="20" s="1"/>
  <c r="Y737" i="20"/>
  <c r="Y736" i="20" s="1"/>
  <c r="Y675" i="20"/>
  <c r="Y674" i="20" s="1"/>
  <c r="V592" i="20"/>
  <c r="V591" i="20" s="1"/>
  <c r="R469" i="20"/>
  <c r="R467" i="20" s="1"/>
  <c r="O460" i="20"/>
  <c r="O458" i="20" s="1"/>
  <c r="O457" i="20" s="1"/>
  <c r="T440" i="20"/>
  <c r="T438" i="20" s="1"/>
  <c r="T437" i="20" s="1"/>
  <c r="AA139" i="20"/>
  <c r="AA138" i="20" s="1"/>
  <c r="N139" i="20"/>
  <c r="N138" i="20" s="1"/>
  <c r="O85" i="20"/>
  <c r="O84" i="20" s="1"/>
  <c r="V844" i="20"/>
  <c r="V843" i="20" s="1"/>
  <c r="Z622" i="20"/>
  <c r="Z621" i="20" s="1"/>
  <c r="T503" i="20"/>
  <c r="T502" i="20" s="1"/>
  <c r="Z460" i="20"/>
  <c r="Z458" i="20" s="1"/>
  <c r="Z457" i="20" s="1"/>
  <c r="M460" i="20"/>
  <c r="M458" i="20" s="1"/>
  <c r="M457" i="20" s="1"/>
  <c r="Q440" i="20"/>
  <c r="Q438" i="20" s="1"/>
  <c r="Q437" i="20" s="1"/>
  <c r="Y139" i="20"/>
  <c r="Y138" i="20" s="1"/>
  <c r="Z85" i="20"/>
  <c r="Z84" i="20" s="1"/>
  <c r="M85" i="20"/>
  <c r="M84" i="20" s="1"/>
  <c r="AA15" i="20"/>
  <c r="AA14" i="20" s="1"/>
  <c r="O947" i="20"/>
  <c r="O946" i="20" s="1"/>
  <c r="Y622" i="20"/>
  <c r="Y621" i="20" s="1"/>
  <c r="L460" i="20"/>
  <c r="L458" i="20" s="1"/>
  <c r="L457" i="20" s="1"/>
  <c r="AA203" i="20"/>
  <c r="AA202" i="20" s="1"/>
  <c r="K139" i="20"/>
  <c r="K138" i="20" s="1"/>
  <c r="L85" i="20"/>
  <c r="L84" i="20" s="1"/>
  <c r="M947" i="20"/>
  <c r="M946" i="20" s="1"/>
  <c r="P737" i="20"/>
  <c r="P736" i="20" s="1"/>
  <c r="Q419" i="20"/>
  <c r="Q417" i="20" s="1"/>
  <c r="Q416" i="20" s="1"/>
  <c r="M229" i="20"/>
  <c r="M228" i="20" s="1"/>
  <c r="U188" i="20"/>
  <c r="U187" i="20" s="1"/>
  <c r="L15" i="20"/>
  <c r="L14" i="20" s="1"/>
  <c r="L947" i="20"/>
  <c r="L946" i="20" s="1"/>
  <c r="S844" i="20"/>
  <c r="S843" i="20" s="1"/>
  <c r="S737" i="20"/>
  <c r="S736" i="20" s="1"/>
  <c r="Z469" i="20"/>
  <c r="Z467" i="20" s="1"/>
  <c r="V460" i="20"/>
  <c r="V458" i="20" s="1"/>
  <c r="V457" i="20" s="1"/>
  <c r="AA287" i="20"/>
  <c r="O166" i="20"/>
  <c r="U139" i="20"/>
  <c r="U138" i="20" s="1"/>
  <c r="V85" i="20"/>
  <c r="V84" i="20" s="1"/>
  <c r="X15" i="20"/>
  <c r="X14" i="20" s="1"/>
  <c r="Z947" i="20"/>
  <c r="Z946" i="20" s="1"/>
  <c r="AA737" i="20"/>
  <c r="AA736" i="20" s="1"/>
  <c r="Z708" i="20"/>
  <c r="Z707" i="20" s="1"/>
  <c r="O503" i="20"/>
  <c r="O502" i="20" s="1"/>
  <c r="M440" i="20"/>
  <c r="M438" i="20" s="1"/>
  <c r="M437" i="20" s="1"/>
  <c r="O419" i="20"/>
  <c r="O417" i="20" s="1"/>
  <c r="O416" i="20" s="1"/>
  <c r="Z229" i="20"/>
  <c r="Z228" i="20" s="1"/>
  <c r="Z209" i="20" s="1"/>
  <c r="Q844" i="20"/>
  <c r="Q843" i="20" s="1"/>
  <c r="M503" i="20"/>
  <c r="M502" i="20" s="1"/>
  <c r="K469" i="20"/>
  <c r="K467" i="20" s="1"/>
  <c r="T460" i="20"/>
  <c r="T458" i="20" s="1"/>
  <c r="T457" i="20" s="1"/>
  <c r="AA440" i="20"/>
  <c r="AA438" i="20" s="1"/>
  <c r="AA437" i="20" s="1"/>
  <c r="L440" i="20"/>
  <c r="L438" i="20" s="1"/>
  <c r="L437" i="20" s="1"/>
  <c r="T85" i="20"/>
  <c r="T84" i="20" s="1"/>
  <c r="P844" i="20"/>
  <c r="P843" i="20" s="1"/>
  <c r="Z440" i="20"/>
  <c r="Z438" i="20" s="1"/>
  <c r="Z437" i="20" s="1"/>
  <c r="X287" i="20"/>
  <c r="X27" i="20"/>
  <c r="X26" i="20" s="1"/>
  <c r="O844" i="20"/>
  <c r="O843" i="20" s="1"/>
  <c r="M737" i="20"/>
  <c r="M736" i="20" s="1"/>
  <c r="L675" i="20"/>
  <c r="L674" i="20" s="1"/>
  <c r="Z592" i="20"/>
  <c r="Z591" i="20" s="1"/>
  <c r="AA503" i="20"/>
  <c r="AA502" i="20" s="1"/>
  <c r="K503" i="20"/>
  <c r="K502" i="20" s="1"/>
  <c r="N460" i="20"/>
  <c r="N458" i="20" s="1"/>
  <c r="N457" i="20" s="1"/>
  <c r="R460" i="20"/>
  <c r="R458" i="20" s="1"/>
  <c r="R457" i="20" s="1"/>
  <c r="P203" i="20"/>
  <c r="P202" i="20" s="1"/>
  <c r="V27" i="20"/>
  <c r="V26" i="20" s="1"/>
  <c r="P15" i="20"/>
  <c r="P14" i="20" s="1"/>
  <c r="U947" i="20"/>
  <c r="U946" i="20" s="1"/>
  <c r="Y908" i="20"/>
  <c r="Y907" i="20" s="1"/>
  <c r="AA844" i="20"/>
  <c r="AA843" i="20" s="1"/>
  <c r="AA675" i="20"/>
  <c r="AA674" i="20" s="1"/>
  <c r="T469" i="20"/>
  <c r="T467" i="20" s="1"/>
  <c r="S440" i="20"/>
  <c r="S438" i="20" s="1"/>
  <c r="S437" i="20" s="1"/>
  <c r="P139" i="20"/>
  <c r="P138" i="20" s="1"/>
  <c r="Z737" i="20"/>
  <c r="Z736" i="20" s="1"/>
  <c r="K737" i="20"/>
  <c r="K736" i="20" s="1"/>
  <c r="S708" i="20"/>
  <c r="S707" i="20" s="1"/>
  <c r="Y503" i="20"/>
  <c r="Y502" i="20" s="1"/>
  <c r="S469" i="20"/>
  <c r="S467" i="20" s="1"/>
  <c r="T229" i="20"/>
  <c r="T228" i="20" s="1"/>
  <c r="T209" i="20" s="1"/>
  <c r="S27" i="20"/>
  <c r="S26" i="20" s="1"/>
  <c r="M15" i="20"/>
  <c r="M14" i="20" s="1"/>
  <c r="S908" i="20"/>
  <c r="S907" i="20" s="1"/>
  <c r="P908" i="20"/>
  <c r="P907" i="20" s="1"/>
  <c r="X947" i="20"/>
  <c r="X946" i="20" s="1"/>
  <c r="K287" i="20"/>
  <c r="P947" i="20"/>
  <c r="P946" i="20" s="1"/>
  <c r="L844" i="20"/>
  <c r="L843" i="20" s="1"/>
  <c r="U908" i="20"/>
  <c r="U907" i="20" s="1"/>
  <c r="N844" i="20"/>
  <c r="N843" i="20" s="1"/>
  <c r="O708" i="20"/>
  <c r="O707" i="20" s="1"/>
  <c r="T622" i="20"/>
  <c r="T621" i="20" s="1"/>
  <c r="Y419" i="20"/>
  <c r="Y417" i="20" s="1"/>
  <c r="Y416" i="20" s="1"/>
  <c r="L229" i="20"/>
  <c r="L228" i="20" s="1"/>
  <c r="L209" i="20" s="1"/>
  <c r="O229" i="20"/>
  <c r="O228" i="20" s="1"/>
  <c r="O209" i="20" s="1"/>
  <c r="AA166" i="20"/>
  <c r="L139" i="20"/>
  <c r="L138" i="20" s="1"/>
  <c r="X85" i="20"/>
  <c r="X84" i="20" s="1"/>
  <c r="K85" i="20"/>
  <c r="K84" i="20" s="1"/>
  <c r="R65" i="20"/>
  <c r="R64" i="20" s="1"/>
  <c r="T15" i="20"/>
  <c r="T14" i="20" s="1"/>
  <c r="T908" i="20"/>
  <c r="T907" i="20" s="1"/>
  <c r="Z844" i="20"/>
  <c r="Z843" i="20" s="1"/>
  <c r="M844" i="20"/>
  <c r="M843" i="20" s="1"/>
  <c r="M708" i="20"/>
  <c r="M707" i="20" s="1"/>
  <c r="S622" i="20"/>
  <c r="S621" i="20" s="1"/>
  <c r="S592" i="20"/>
  <c r="S591" i="20" s="1"/>
  <c r="X139" i="20"/>
  <c r="X138" i="20" s="1"/>
  <c r="Y27" i="20"/>
  <c r="Y26" i="20" s="1"/>
  <c r="S15" i="20"/>
  <c r="S14" i="20" s="1"/>
  <c r="Y844" i="20"/>
  <c r="Y843" i="20" s="1"/>
  <c r="X737" i="20"/>
  <c r="X736" i="20" s="1"/>
  <c r="T640" i="20"/>
  <c r="T639" i="20" s="1"/>
  <c r="V503" i="20"/>
  <c r="V502" i="20" s="1"/>
  <c r="U460" i="20"/>
  <c r="U458" i="20" s="1"/>
  <c r="U457" i="20" s="1"/>
  <c r="V419" i="20"/>
  <c r="V417" i="20" s="1"/>
  <c r="V416" i="20" s="1"/>
  <c r="U85" i="20"/>
  <c r="U84" i="20" s="1"/>
  <c r="P65" i="20"/>
  <c r="P64" i="20" s="1"/>
  <c r="Q908" i="20"/>
  <c r="Q907" i="20" s="1"/>
  <c r="X844" i="20"/>
  <c r="X843" i="20" s="1"/>
  <c r="V737" i="20"/>
  <c r="V736" i="20" s="1"/>
  <c r="K708" i="20"/>
  <c r="K707" i="20" s="1"/>
  <c r="X675" i="20"/>
  <c r="X674" i="20" s="1"/>
  <c r="Q622" i="20"/>
  <c r="Q621" i="20" s="1"/>
  <c r="O287" i="20"/>
  <c r="K229" i="20"/>
  <c r="K228" i="20" s="1"/>
  <c r="K209" i="20" s="1"/>
  <c r="U737" i="20"/>
  <c r="U736" i="20" s="1"/>
  <c r="AA708" i="20"/>
  <c r="AA707" i="20" s="1"/>
  <c r="R640" i="20"/>
  <c r="R639" i="20" s="1"/>
  <c r="O622" i="20"/>
  <c r="O621" i="20" s="1"/>
  <c r="Q469" i="20"/>
  <c r="Q467" i="20" s="1"/>
  <c r="S460" i="20"/>
  <c r="S458" i="20" s="1"/>
  <c r="S457" i="20" s="1"/>
  <c r="K440" i="20"/>
  <c r="K438" i="20" s="1"/>
  <c r="K437" i="20" s="1"/>
  <c r="S419" i="20"/>
  <c r="S417" i="20" s="1"/>
  <c r="S416" i="20" s="1"/>
  <c r="Y229" i="20"/>
  <c r="Y228" i="20" s="1"/>
  <c r="Y209" i="20" s="1"/>
  <c r="N203" i="20"/>
  <c r="N202" i="20" s="1"/>
  <c r="T139" i="20"/>
  <c r="T138" i="20" s="1"/>
  <c r="S85" i="20"/>
  <c r="S84" i="20" s="1"/>
  <c r="N65" i="20"/>
  <c r="N64" i="20" s="1"/>
  <c r="U844" i="20"/>
  <c r="U843" i="20" s="1"/>
  <c r="T737" i="20"/>
  <c r="T736" i="20" s="1"/>
  <c r="W676" i="20"/>
  <c r="AC676" i="20" s="1"/>
  <c r="M622" i="20"/>
  <c r="M621" i="20" s="1"/>
  <c r="Y440" i="20"/>
  <c r="Y438" i="20" s="1"/>
  <c r="Y437" i="20" s="1"/>
  <c r="V287" i="20"/>
  <c r="S139" i="20"/>
  <c r="S138" i="20" s="1"/>
  <c r="R85" i="20"/>
  <c r="R84" i="20" s="1"/>
  <c r="Z65" i="20"/>
  <c r="Z64" i="20" s="1"/>
  <c r="M65" i="20"/>
  <c r="M64" i="20" s="1"/>
  <c r="Y708" i="20"/>
  <c r="Y707" i="20" s="1"/>
  <c r="T675" i="20"/>
  <c r="T674" i="20" s="1"/>
  <c r="AA622" i="20"/>
  <c r="AA621" i="20" s="1"/>
  <c r="M592" i="20"/>
  <c r="M591" i="20" s="1"/>
  <c r="P503" i="20"/>
  <c r="P502" i="20" s="1"/>
  <c r="O469" i="20"/>
  <c r="O467" i="20" s="1"/>
  <c r="X440" i="20"/>
  <c r="X438" i="20" s="1"/>
  <c r="X437" i="20" s="1"/>
  <c r="AA419" i="20"/>
  <c r="AA417" i="20" s="1"/>
  <c r="AA416" i="20" s="1"/>
  <c r="Y203" i="20"/>
  <c r="Y202" i="20" s="1"/>
  <c r="L203" i="20"/>
  <c r="L202" i="20" s="1"/>
  <c r="M188" i="20"/>
  <c r="M187" i="20" s="1"/>
  <c r="R139" i="20"/>
  <c r="R138" i="20" s="1"/>
  <c r="Q85" i="20"/>
  <c r="Q84" i="20" s="1"/>
  <c r="Y65" i="20"/>
  <c r="Y64" i="20" s="1"/>
  <c r="L65" i="20"/>
  <c r="L64" i="20" s="1"/>
  <c r="L908" i="20"/>
  <c r="L907" i="20" s="1"/>
  <c r="P675" i="20"/>
  <c r="P674" i="20" s="1"/>
  <c r="K622" i="20"/>
  <c r="K621" i="20" s="1"/>
  <c r="L592" i="20"/>
  <c r="L591" i="20" s="1"/>
  <c r="N469" i="20"/>
  <c r="N467" i="20" s="1"/>
  <c r="P460" i="20"/>
  <c r="P458" i="20" s="1"/>
  <c r="P457" i="20" s="1"/>
  <c r="V440" i="20"/>
  <c r="V438" i="20" s="1"/>
  <c r="V437" i="20" s="1"/>
  <c r="M419" i="20"/>
  <c r="M417" i="20" s="1"/>
  <c r="M416" i="20" s="1"/>
  <c r="P166" i="20"/>
  <c r="P85" i="20"/>
  <c r="P84" i="20" s="1"/>
  <c r="K65" i="20"/>
  <c r="K64" i="20" s="1"/>
  <c r="O27" i="20"/>
  <c r="O26" i="20" s="1"/>
  <c r="K15" i="20"/>
  <c r="K14" i="20" s="1"/>
  <c r="O15" i="20"/>
  <c r="O14" i="20" s="1"/>
  <c r="Z908" i="20"/>
  <c r="Z907" i="20" s="1"/>
  <c r="K908" i="20"/>
  <c r="K907" i="20" s="1"/>
  <c r="R844" i="20"/>
  <c r="R843" i="20" s="1"/>
  <c r="P287" i="20"/>
  <c r="Z188" i="20"/>
  <c r="Z187" i="20" s="1"/>
  <c r="K188" i="20"/>
  <c r="K187" i="20" s="1"/>
  <c r="Y15" i="20"/>
  <c r="Y14" i="20" s="1"/>
  <c r="O737" i="20"/>
  <c r="O736" i="20" s="1"/>
  <c r="T708" i="20"/>
  <c r="T707" i="20" s="1"/>
  <c r="Y469" i="20"/>
  <c r="Y467" i="20" s="1"/>
  <c r="U203" i="20"/>
  <c r="U202" i="20" s="1"/>
  <c r="Y188" i="20"/>
  <c r="Y187" i="20" s="1"/>
  <c r="U65" i="20"/>
  <c r="U64" i="20" s="1"/>
  <c r="Q65" i="20"/>
  <c r="Q64" i="20" s="1"/>
  <c r="K27" i="20"/>
  <c r="K26" i="20" s="1"/>
  <c r="L737" i="20"/>
  <c r="L736" i="20" s="1"/>
  <c r="P708" i="20"/>
  <c r="P707" i="20" s="1"/>
  <c r="U622" i="20"/>
  <c r="U621" i="20" s="1"/>
  <c r="Z503" i="20"/>
  <c r="Z502" i="20" s="1"/>
  <c r="Y460" i="20"/>
  <c r="Y458" i="20" s="1"/>
  <c r="Y457" i="20" s="1"/>
  <c r="P440" i="20"/>
  <c r="P438" i="20" s="1"/>
  <c r="P437" i="20" s="1"/>
  <c r="L419" i="20"/>
  <c r="L417" i="20" s="1"/>
  <c r="L416" i="20" s="1"/>
  <c r="S203" i="20"/>
  <c r="S202" i="20" s="1"/>
  <c r="V188" i="20"/>
  <c r="V187" i="20" s="1"/>
  <c r="Z139" i="20"/>
  <c r="Z138" i="20" s="1"/>
  <c r="AA27" i="20"/>
  <c r="AA26" i="20" s="1"/>
  <c r="Y947" i="20"/>
  <c r="Y946" i="20" s="1"/>
  <c r="X908" i="20"/>
  <c r="X907" i="20" s="1"/>
  <c r="T844" i="20"/>
  <c r="T843" i="20" s="1"/>
  <c r="V622" i="20"/>
  <c r="V621" i="20" s="1"/>
  <c r="V708" i="20"/>
  <c r="V707" i="20" s="1"/>
  <c r="K844" i="20"/>
  <c r="K843" i="20" s="1"/>
  <c r="L622" i="20"/>
  <c r="L621" i="20" s="1"/>
  <c r="Y592" i="20"/>
  <c r="Y591" i="20" s="1"/>
  <c r="S503" i="20"/>
  <c r="S502" i="20" s="1"/>
  <c r="AA469" i="20"/>
  <c r="AA467" i="20" s="1"/>
  <c r="X708" i="20"/>
  <c r="X707" i="20" s="1"/>
  <c r="L708" i="20"/>
  <c r="L707" i="20" s="1"/>
  <c r="X622" i="20"/>
  <c r="X621" i="20" s="1"/>
  <c r="X592" i="20"/>
  <c r="X591" i="20" s="1"/>
  <c r="K592" i="20"/>
  <c r="K591" i="20" s="1"/>
  <c r="T419" i="20"/>
  <c r="T417" i="20" s="1"/>
  <c r="T416" i="20" s="1"/>
  <c r="L469" i="20"/>
  <c r="L467" i="20" s="1"/>
  <c r="Q460" i="20"/>
  <c r="Q458" i="20" s="1"/>
  <c r="Q457" i="20" s="1"/>
  <c r="S287" i="20"/>
  <c r="X469" i="20"/>
  <c r="X467" i="20" s="1"/>
  <c r="U469" i="20"/>
  <c r="U467" i="20" s="1"/>
  <c r="K460" i="20"/>
  <c r="K458" i="20" s="1"/>
  <c r="K457" i="20" s="1"/>
  <c r="N440" i="20"/>
  <c r="N438" i="20" s="1"/>
  <c r="N437" i="20" s="1"/>
  <c r="Z287" i="20"/>
  <c r="M287" i="20"/>
  <c r="AA229" i="20"/>
  <c r="AA228" i="20" s="1"/>
  <c r="AA209" i="20" s="1"/>
  <c r="Y287" i="20"/>
  <c r="T287" i="20"/>
  <c r="L166" i="20"/>
  <c r="Z166" i="20"/>
  <c r="AA85" i="20"/>
  <c r="AA84" i="20" s="1"/>
  <c r="N85" i="20"/>
  <c r="N84" i="20" s="1"/>
  <c r="V203" i="20"/>
  <c r="V202" i="20" s="1"/>
  <c r="Y166" i="20"/>
  <c r="X166" i="20"/>
  <c r="K166" i="20"/>
  <c r="V166" i="20"/>
  <c r="Q139" i="20"/>
  <c r="Q138" i="20" s="1"/>
  <c r="T166" i="20"/>
  <c r="S166" i="20"/>
  <c r="M166" i="20"/>
  <c r="M73" i="5"/>
  <c r="M75" i="5"/>
  <c r="S75" i="5" s="1"/>
  <c r="M76" i="5"/>
  <c r="S76" i="5" s="1"/>
  <c r="S77" i="5"/>
  <c r="M78" i="5"/>
  <c r="U78" i="5" s="1"/>
  <c r="U79" i="5"/>
  <c r="U81" i="5"/>
  <c r="M59" i="5"/>
  <c r="U59" i="5" s="1"/>
  <c r="M50" i="5"/>
  <c r="S50" i="5" s="1"/>
  <c r="M51" i="5"/>
  <c r="U51" i="5" s="1"/>
  <c r="M52" i="5"/>
  <c r="S52" i="5" s="1"/>
  <c r="M42" i="5"/>
  <c r="U42" i="5" s="1"/>
  <c r="M22" i="5"/>
  <c r="S22" i="5" s="1"/>
  <c r="M23" i="5"/>
  <c r="U23" i="5" s="1"/>
  <c r="M24" i="5"/>
  <c r="S24" i="5" s="1"/>
  <c r="M25" i="5"/>
  <c r="S25" i="5" s="1"/>
  <c r="M26" i="5"/>
  <c r="S26" i="5" s="1"/>
  <c r="M28" i="5"/>
  <c r="U28" i="5" s="1"/>
  <c r="M29" i="5"/>
  <c r="S29" i="5" s="1"/>
  <c r="M30" i="5"/>
  <c r="U30" i="5" s="1"/>
  <c r="X585" i="20"/>
  <c r="X583" i="20" s="1"/>
  <c r="X582" i="20" s="1"/>
  <c r="Z585" i="20"/>
  <c r="Z583" i="20" s="1"/>
  <c r="Z582" i="20" s="1"/>
  <c r="Y585" i="20"/>
  <c r="Y583" i="20" s="1"/>
  <c r="Y582" i="20" s="1"/>
  <c r="L46" i="18"/>
  <c r="L45" i="18" s="1"/>
  <c r="L42" i="18" s="1"/>
  <c r="L41" i="18" s="1"/>
  <c r="L40" i="18" s="1"/>
  <c r="V45" i="18"/>
  <c r="V42" i="18" s="1"/>
  <c r="V41" i="18" s="1"/>
  <c r="V40" i="18" s="1"/>
  <c r="U45" i="18"/>
  <c r="T45" i="18"/>
  <c r="T42" i="18" s="1"/>
  <c r="T41" i="18" s="1"/>
  <c r="T40" i="18" s="1"/>
  <c r="S45" i="18"/>
  <c r="S42" i="18" s="1"/>
  <c r="S41" i="18" s="1"/>
  <c r="S40" i="18" s="1"/>
  <c r="R45" i="18"/>
  <c r="R42" i="18" s="1"/>
  <c r="R41" i="18" s="1"/>
  <c r="R40" i="18" s="1"/>
  <c r="Q45" i="18"/>
  <c r="P45" i="18"/>
  <c r="O45" i="18"/>
  <c r="O42" i="18" s="1"/>
  <c r="O41" i="18" s="1"/>
  <c r="O40" i="18" s="1"/>
  <c r="N45" i="18"/>
  <c r="N42" i="18" s="1"/>
  <c r="N41" i="18" s="1"/>
  <c r="N40" i="18" s="1"/>
  <c r="M45" i="18"/>
  <c r="M42" i="18" s="1"/>
  <c r="M41" i="18" s="1"/>
  <c r="M40" i="18" s="1"/>
  <c r="K45" i="18"/>
  <c r="K42" i="18" s="1"/>
  <c r="K41" i="18" s="1"/>
  <c r="K40" i="18" s="1"/>
  <c r="J45" i="18"/>
  <c r="J42" i="18" s="1"/>
  <c r="J41" i="18" s="1"/>
  <c r="J40" i="18" s="1"/>
  <c r="W42" i="18"/>
  <c r="W41" i="18" s="1"/>
  <c r="W40" i="18" s="1"/>
  <c r="U42" i="18"/>
  <c r="U41" i="18" s="1"/>
  <c r="U40" i="18" s="1"/>
  <c r="Q42" i="18"/>
  <c r="Q41" i="18" s="1"/>
  <c r="Q40" i="18" s="1"/>
  <c r="P42" i="18"/>
  <c r="P41" i="18" s="1"/>
  <c r="P40" i="18" s="1"/>
  <c r="X11" i="18"/>
  <c r="J13" i="20" l="1"/>
  <c r="J873" i="20"/>
  <c r="W272" i="20"/>
  <c r="AC272" i="20" s="1"/>
  <c r="AC273" i="20"/>
  <c r="W868" i="20"/>
  <c r="AC869" i="20"/>
  <c r="W199" i="20"/>
  <c r="AC200" i="20"/>
  <c r="M27" i="5"/>
  <c r="AC939" i="20"/>
  <c r="W324" i="20"/>
  <c r="AC326" i="20"/>
  <c r="W257" i="20"/>
  <c r="AC259" i="20"/>
  <c r="W830" i="20"/>
  <c r="AC832" i="20"/>
  <c r="W203" i="20"/>
  <c r="AC204" i="20"/>
  <c r="W251" i="20"/>
  <c r="AC253" i="20"/>
  <c r="W124" i="20"/>
  <c r="AC126" i="20"/>
  <c r="W615" i="20"/>
  <c r="AC618" i="20"/>
  <c r="W268" i="20"/>
  <c r="AC268" i="20" s="1"/>
  <c r="AC269" i="20"/>
  <c r="O186" i="20"/>
  <c r="L186" i="20"/>
  <c r="X186" i="20"/>
  <c r="J708" i="20"/>
  <c r="J707" i="20" s="1"/>
  <c r="M186" i="20"/>
  <c r="W675" i="20"/>
  <c r="J188" i="20"/>
  <c r="J187" i="20" s="1"/>
  <c r="J186" i="20" s="1"/>
  <c r="S73" i="5"/>
  <c r="C73" i="5"/>
  <c r="S186" i="20"/>
  <c r="U186" i="20"/>
  <c r="AA186" i="20"/>
  <c r="L13" i="20"/>
  <c r="Y13" i="20"/>
  <c r="V186" i="20"/>
  <c r="K186" i="20"/>
  <c r="J229" i="20"/>
  <c r="J228" i="20" s="1"/>
  <c r="J209" i="20" s="1"/>
  <c r="Z186" i="20"/>
  <c r="P13" i="20"/>
  <c r="T13" i="20"/>
  <c r="P186" i="20"/>
  <c r="S13" i="20"/>
  <c r="X13" i="20"/>
  <c r="Y186" i="20"/>
  <c r="O13" i="20"/>
  <c r="K13" i="20"/>
  <c r="S59" i="5"/>
  <c r="S28" i="5"/>
  <c r="U73" i="5"/>
  <c r="U26" i="5"/>
  <c r="U52" i="5"/>
  <c r="S79" i="5"/>
  <c r="S23" i="5"/>
  <c r="S51" i="5"/>
  <c r="U22" i="5"/>
  <c r="S30" i="5"/>
  <c r="U50" i="5"/>
  <c r="S42" i="5"/>
  <c r="U80" i="5"/>
  <c r="U29" i="5"/>
  <c r="S78" i="5"/>
  <c r="U77" i="5"/>
  <c r="U25" i="5"/>
  <c r="U76" i="5"/>
  <c r="U24" i="5"/>
  <c r="W867" i="20" l="1"/>
  <c r="AC867" i="20" s="1"/>
  <c r="AC868" i="20"/>
  <c r="W829" i="20"/>
  <c r="AC829" i="20" s="1"/>
  <c r="AC830" i="20"/>
  <c r="W614" i="20"/>
  <c r="AC614" i="20" s="1"/>
  <c r="AC615" i="20"/>
  <c r="W323" i="20"/>
  <c r="AC323" i="20" s="1"/>
  <c r="AC324" i="20"/>
  <c r="W250" i="20"/>
  <c r="AC250" i="20" s="1"/>
  <c r="AC251" i="20"/>
  <c r="W198" i="20"/>
  <c r="AC198" i="20" s="1"/>
  <c r="AC199" i="20"/>
  <c r="W202" i="20"/>
  <c r="AC202" i="20" s="1"/>
  <c r="AC203" i="20"/>
  <c r="W674" i="20"/>
  <c r="AC674" i="20" s="1"/>
  <c r="AC675" i="20"/>
  <c r="S27" i="5"/>
  <c r="C27" i="5"/>
  <c r="U27" i="5"/>
  <c r="W256" i="20"/>
  <c r="AC257" i="20"/>
  <c r="W123" i="20"/>
  <c r="AC123" i="20" s="1"/>
  <c r="AC124" i="20"/>
  <c r="O30" i="18"/>
  <c r="O327" i="20"/>
  <c r="O326" i="20" s="1"/>
  <c r="O324" i="20" s="1"/>
  <c r="O323" i="20" s="1"/>
  <c r="AC256" i="20" l="1"/>
  <c r="I43" i="5"/>
  <c r="U127" i="20"/>
  <c r="U126" i="20" s="1"/>
  <c r="U124" i="20" s="1"/>
  <c r="U123" i="20" s="1"/>
  <c r="Q127" i="20"/>
  <c r="Q126" i="20" s="1"/>
  <c r="Q124" i="20" s="1"/>
  <c r="Q123" i="20" s="1"/>
  <c r="M127" i="20"/>
  <c r="M126" i="20" s="1"/>
  <c r="M124" i="20" s="1"/>
  <c r="M123" i="20" s="1"/>
  <c r="N779" i="20"/>
  <c r="N773" i="20" s="1"/>
  <c r="N771" i="20" s="1"/>
  <c r="N770" i="20" s="1"/>
  <c r="Q779" i="20"/>
  <c r="Q773" i="20" s="1"/>
  <c r="Q771" i="20" s="1"/>
  <c r="Q770" i="20" s="1"/>
  <c r="R779" i="20"/>
  <c r="R773" i="20" s="1"/>
  <c r="R771" i="20" s="1"/>
  <c r="R770" i="20" s="1"/>
  <c r="U779" i="20"/>
  <c r="U773" i="20" s="1"/>
  <c r="U771" i="20" s="1"/>
  <c r="U770" i="20" s="1"/>
  <c r="H62" i="5" l="1"/>
  <c r="R201" i="20"/>
  <c r="R200" i="20" s="1"/>
  <c r="R199" i="20" s="1"/>
  <c r="R198" i="20" s="1"/>
  <c r="N201" i="20"/>
  <c r="N200" i="20" s="1"/>
  <c r="N199" i="20" s="1"/>
  <c r="N198" i="20" s="1"/>
  <c r="W68" i="19" l="1"/>
  <c r="I40" i="5"/>
  <c r="R276" i="20"/>
  <c r="R275" i="20" s="1"/>
  <c r="R273" i="20" s="1"/>
  <c r="R272" i="20" s="1"/>
  <c r="J15" i="6"/>
  <c r="H22" i="5" l="1"/>
  <c r="I55" i="5" l="1"/>
  <c r="C52" i="5"/>
  <c r="C51" i="5"/>
  <c r="C30" i="5"/>
  <c r="C22" i="5"/>
  <c r="W12" i="20"/>
  <c r="W1006" i="20"/>
  <c r="C79" i="5"/>
  <c r="W1004" i="20"/>
  <c r="W1002" i="20"/>
  <c r="AA1001" i="20"/>
  <c r="AA999" i="20" s="1"/>
  <c r="AA998" i="20" s="1"/>
  <c r="AA997" i="20" s="1"/>
  <c r="Z1001" i="20"/>
  <c r="Z999" i="20" s="1"/>
  <c r="Z998" i="20" s="1"/>
  <c r="Z997" i="20" s="1"/>
  <c r="Y1001" i="20"/>
  <c r="Y999" i="20" s="1"/>
  <c r="Y998" i="20" s="1"/>
  <c r="Y997" i="20" s="1"/>
  <c r="X1001" i="20"/>
  <c r="X999" i="20" s="1"/>
  <c r="X998" i="20" s="1"/>
  <c r="X997" i="20" s="1"/>
  <c r="W995" i="20"/>
  <c r="AC995" i="20" s="1"/>
  <c r="W991" i="20"/>
  <c r="AA990" i="20"/>
  <c r="AA989" i="20" s="1"/>
  <c r="AA988" i="20" s="1"/>
  <c r="Z990" i="20"/>
  <c r="Z989" i="20" s="1"/>
  <c r="Z988" i="20" s="1"/>
  <c r="Y990" i="20"/>
  <c r="Y989" i="20" s="1"/>
  <c r="Y988" i="20" s="1"/>
  <c r="X990" i="20"/>
  <c r="X989" i="20" s="1"/>
  <c r="X988" i="20" s="1"/>
  <c r="W987" i="20"/>
  <c r="AA986" i="20"/>
  <c r="AA984" i="20" s="1"/>
  <c r="AA983" i="20" s="1"/>
  <c r="Z986" i="20"/>
  <c r="Z984" i="20" s="1"/>
  <c r="Z983" i="20" s="1"/>
  <c r="Y986" i="20"/>
  <c r="Y984" i="20" s="1"/>
  <c r="Y983" i="20" s="1"/>
  <c r="X986" i="20"/>
  <c r="X984" i="20" s="1"/>
  <c r="X983" i="20" s="1"/>
  <c r="W981" i="20"/>
  <c r="AC981" i="20" s="1"/>
  <c r="AA977" i="20"/>
  <c r="Z977" i="20"/>
  <c r="Y977" i="20"/>
  <c r="X977" i="20"/>
  <c r="W976" i="20"/>
  <c r="AC976" i="20" s="1"/>
  <c r="W971" i="20"/>
  <c r="AC971" i="20" s="1"/>
  <c r="W970" i="20"/>
  <c r="AC970" i="20" s="1"/>
  <c r="W969" i="20"/>
  <c r="AC969" i="20" s="1"/>
  <c r="W968" i="20"/>
  <c r="AC968" i="20" s="1"/>
  <c r="W967" i="20"/>
  <c r="AC967" i="20" s="1"/>
  <c r="W962" i="20"/>
  <c r="AC962" i="20" s="1"/>
  <c r="W957" i="20"/>
  <c r="AC957" i="20" s="1"/>
  <c r="W953" i="20"/>
  <c r="W951" i="20"/>
  <c r="AC951" i="20" s="1"/>
  <c r="W950" i="20"/>
  <c r="AC950" i="20" s="1"/>
  <c r="W949" i="20"/>
  <c r="AC949" i="20" s="1"/>
  <c r="W934" i="20"/>
  <c r="W929" i="20"/>
  <c r="W924" i="20"/>
  <c r="W919" i="20"/>
  <c r="W880" i="20"/>
  <c r="AC880" i="20" s="1"/>
  <c r="W879" i="20"/>
  <c r="AC879" i="20" s="1"/>
  <c r="W878" i="20"/>
  <c r="W914" i="20"/>
  <c r="AC914" i="20" s="1"/>
  <c r="W885" i="20"/>
  <c r="AA881" i="20"/>
  <c r="Z881" i="20"/>
  <c r="Y881" i="20"/>
  <c r="X881" i="20"/>
  <c r="W913" i="20"/>
  <c r="AC913" i="20" s="1"/>
  <c r="W912" i="20"/>
  <c r="W910" i="20"/>
  <c r="W903" i="20"/>
  <c r="W902" i="20" s="1"/>
  <c r="W898" i="20"/>
  <c r="AC898" i="20" s="1"/>
  <c r="W897" i="20"/>
  <c r="W892" i="20"/>
  <c r="AC892" i="20" s="1"/>
  <c r="W891" i="20"/>
  <c r="AA890" i="20"/>
  <c r="AA888" i="20" s="1"/>
  <c r="AA887" i="20" s="1"/>
  <c r="Z890" i="20"/>
  <c r="Z888" i="20" s="1"/>
  <c r="Z887" i="20" s="1"/>
  <c r="Y890" i="20"/>
  <c r="Y888" i="20" s="1"/>
  <c r="Y887" i="20" s="1"/>
  <c r="X890" i="20"/>
  <c r="X888" i="20" s="1"/>
  <c r="X887" i="20" s="1"/>
  <c r="W886" i="20"/>
  <c r="AC886" i="20" s="1"/>
  <c r="W304" i="20"/>
  <c r="AC304" i="20" s="1"/>
  <c r="W299" i="20"/>
  <c r="AC299" i="20" s="1"/>
  <c r="W866" i="20"/>
  <c r="W865" i="20" s="1"/>
  <c r="W861" i="20"/>
  <c r="AC861" i="20" s="1"/>
  <c r="W860" i="20"/>
  <c r="AA856" i="20"/>
  <c r="Z856" i="20"/>
  <c r="Y856" i="20"/>
  <c r="X856" i="20"/>
  <c r="W854" i="20"/>
  <c r="AC854" i="20" s="1"/>
  <c r="W853" i="20"/>
  <c r="AC853" i="20" s="1"/>
  <c r="W852" i="20"/>
  <c r="W850" i="20"/>
  <c r="AC850" i="20" s="1"/>
  <c r="W849" i="20"/>
  <c r="AC849" i="20" s="1"/>
  <c r="W848" i="20"/>
  <c r="AC848" i="20" s="1"/>
  <c r="W847" i="20"/>
  <c r="AC847" i="20" s="1"/>
  <c r="W846" i="20"/>
  <c r="N39" i="5"/>
  <c r="W827" i="20"/>
  <c r="AC827" i="20" s="1"/>
  <c r="W826" i="20"/>
  <c r="AC826" i="20" s="1"/>
  <c r="W825" i="20"/>
  <c r="AC825" i="20" s="1"/>
  <c r="W824" i="20"/>
  <c r="AC824" i="20" s="1"/>
  <c r="W823" i="20"/>
  <c r="W817" i="20"/>
  <c r="AC817" i="20" s="1"/>
  <c r="W811" i="20"/>
  <c r="AC811" i="20" s="1"/>
  <c r="W810" i="20"/>
  <c r="W801" i="20"/>
  <c r="W800" i="20" s="1"/>
  <c r="W790" i="20"/>
  <c r="W789" i="20" s="1"/>
  <c r="W774" i="20"/>
  <c r="W773" i="20" s="1"/>
  <c r="W769" i="20"/>
  <c r="AC769" i="20" s="1"/>
  <c r="W758" i="20"/>
  <c r="W757" i="20" s="1"/>
  <c r="W749" i="20"/>
  <c r="W748" i="20" s="1"/>
  <c r="W743" i="20"/>
  <c r="AC743" i="20" s="1"/>
  <c r="W742" i="20"/>
  <c r="AC742" i="20" s="1"/>
  <c r="W741" i="20"/>
  <c r="W739" i="20"/>
  <c r="W734" i="20"/>
  <c r="AC734" i="20" s="1"/>
  <c r="W733" i="20"/>
  <c r="W727" i="20"/>
  <c r="AC727" i="20" s="1"/>
  <c r="W726" i="20"/>
  <c r="AA725" i="20"/>
  <c r="AA723" i="20" s="1"/>
  <c r="AA722" i="20" s="1"/>
  <c r="Z725" i="20"/>
  <c r="Z723" i="20" s="1"/>
  <c r="Z722" i="20" s="1"/>
  <c r="Y725" i="20"/>
  <c r="Y723" i="20" s="1"/>
  <c r="Y722" i="20" s="1"/>
  <c r="X725" i="20"/>
  <c r="X723" i="20" s="1"/>
  <c r="X722" i="20" s="1"/>
  <c r="W720" i="20"/>
  <c r="AC720" i="20" s="1"/>
  <c r="W714" i="20"/>
  <c r="AC714" i="20" s="1"/>
  <c r="W713" i="20"/>
  <c r="W711" i="20"/>
  <c r="AC711" i="20" s="1"/>
  <c r="W710" i="20"/>
  <c r="W705" i="20"/>
  <c r="AC705" i="20" s="1"/>
  <c r="W704" i="20"/>
  <c r="AC704" i="20" s="1"/>
  <c r="W703" i="20"/>
  <c r="AC703" i="20" s="1"/>
  <c r="W702" i="20"/>
  <c r="W689" i="20"/>
  <c r="W688" i="20" s="1"/>
  <c r="W672" i="20"/>
  <c r="AC672" i="20" s="1"/>
  <c r="W671" i="20"/>
  <c r="AC671" i="20" s="1"/>
  <c r="W665" i="20"/>
  <c r="AC665" i="20" s="1"/>
  <c r="W664" i="20"/>
  <c r="AC664" i="20" s="1"/>
  <c r="W658" i="20"/>
  <c r="AA657" i="20"/>
  <c r="AA655" i="20" s="1"/>
  <c r="AA654" i="20" s="1"/>
  <c r="Z657" i="20"/>
  <c r="Z655" i="20" s="1"/>
  <c r="Z654" i="20" s="1"/>
  <c r="Y657" i="20"/>
  <c r="Y655" i="20" s="1"/>
  <c r="Y654" i="20" s="1"/>
  <c r="X657" i="20"/>
  <c r="X655" i="20" s="1"/>
  <c r="X654" i="20" s="1"/>
  <c r="W645" i="20"/>
  <c r="W644" i="20" s="1"/>
  <c r="W643" i="20"/>
  <c r="AC643" i="20" s="1"/>
  <c r="W642" i="20"/>
  <c r="W627" i="20"/>
  <c r="W626" i="20" s="1"/>
  <c r="W624" i="20"/>
  <c r="W623" i="20" s="1"/>
  <c r="W607" i="20"/>
  <c r="W573" i="20"/>
  <c r="AC573" i="20" s="1"/>
  <c r="W572" i="20"/>
  <c r="AC572" i="20" s="1"/>
  <c r="W571" i="20"/>
  <c r="AC571" i="20" s="1"/>
  <c r="W570" i="20"/>
  <c r="AC570" i="20" s="1"/>
  <c r="W569" i="20"/>
  <c r="AC569" i="20" s="1"/>
  <c r="W564" i="20"/>
  <c r="AC564" i="20" s="1"/>
  <c r="W558" i="20"/>
  <c r="W548" i="20"/>
  <c r="W547" i="20" s="1"/>
  <c r="W542" i="20"/>
  <c r="AC542" i="20" s="1"/>
  <c r="W541" i="20"/>
  <c r="AC541" i="20" s="1"/>
  <c r="W535" i="20"/>
  <c r="AC535" i="20" s="1"/>
  <c r="W529" i="20"/>
  <c r="AC529" i="20" s="1"/>
  <c r="W528" i="20"/>
  <c r="AC528" i="20" s="1"/>
  <c r="W516" i="20"/>
  <c r="W515" i="20" s="1"/>
  <c r="W505" i="20"/>
  <c r="W504" i="20" s="1"/>
  <c r="W500" i="20"/>
  <c r="AC500" i="20" s="1"/>
  <c r="W493" i="20"/>
  <c r="AC493" i="20" s="1"/>
  <c r="W487" i="20"/>
  <c r="AC487" i="20" s="1"/>
  <c r="W480" i="20"/>
  <c r="W473" i="20"/>
  <c r="W471" i="20"/>
  <c r="AA466" i="20"/>
  <c r="Z466" i="20"/>
  <c r="Y466" i="20"/>
  <c r="X466" i="20"/>
  <c r="W464" i="20"/>
  <c r="W462" i="20"/>
  <c r="W455" i="20"/>
  <c r="AC455" i="20" s="1"/>
  <c r="W454" i="20"/>
  <c r="AC454" i="20" s="1"/>
  <c r="W452" i="20"/>
  <c r="AC452" i="20" s="1"/>
  <c r="W451" i="20"/>
  <c r="AC451" i="20" s="1"/>
  <c r="W444" i="20"/>
  <c r="W442" i="20"/>
  <c r="W435" i="20"/>
  <c r="AC435" i="20" s="1"/>
  <c r="W428" i="20"/>
  <c r="AC428" i="20" s="1"/>
  <c r="W427" i="20"/>
  <c r="AC427" i="20" s="1"/>
  <c r="W421" i="20"/>
  <c r="W414" i="20"/>
  <c r="AC414" i="20" s="1"/>
  <c r="W405" i="20"/>
  <c r="W398" i="20"/>
  <c r="AC398" i="20" s="1"/>
  <c r="W397" i="20"/>
  <c r="AC397" i="20" s="1"/>
  <c r="W390" i="20"/>
  <c r="AC390" i="20" s="1"/>
  <c r="W389" i="20"/>
  <c r="AC389" i="20" s="1"/>
  <c r="W388" i="20"/>
  <c r="AC388" i="20" s="1"/>
  <c r="W381" i="20"/>
  <c r="W375" i="20"/>
  <c r="AC375" i="20" s="1"/>
  <c r="W369" i="20"/>
  <c r="AC369" i="20" s="1"/>
  <c r="W363" i="20"/>
  <c r="AC363" i="20" s="1"/>
  <c r="W357" i="20"/>
  <c r="AC357" i="20" s="1"/>
  <c r="W351" i="20"/>
  <c r="AC351" i="20" s="1"/>
  <c r="W345" i="20"/>
  <c r="AC345" i="20" s="1"/>
  <c r="W344" i="20"/>
  <c r="W338" i="20"/>
  <c r="AC338" i="20" s="1"/>
  <c r="W337" i="20"/>
  <c r="AC337" i="20" s="1"/>
  <c r="W336" i="20"/>
  <c r="AC336" i="20" s="1"/>
  <c r="AA335" i="20"/>
  <c r="AA334" i="20" s="1"/>
  <c r="AA331" i="20" s="1"/>
  <c r="AA330" i="20" s="1"/>
  <c r="Z335" i="20"/>
  <c r="Z334" i="20" s="1"/>
  <c r="Z331" i="20" s="1"/>
  <c r="Z330" i="20" s="1"/>
  <c r="Y335" i="20"/>
  <c r="Y334" i="20" s="1"/>
  <c r="Y331" i="20" s="1"/>
  <c r="Y330" i="20" s="1"/>
  <c r="X335" i="20"/>
  <c r="X334" i="20" s="1"/>
  <c r="X331" i="20" s="1"/>
  <c r="X330" i="20" s="1"/>
  <c r="V335" i="20"/>
  <c r="V334" i="20" s="1"/>
  <c r="V331" i="20" s="1"/>
  <c r="V330" i="20" s="1"/>
  <c r="W333" i="20"/>
  <c r="W318" i="20"/>
  <c r="W317" i="20" s="1"/>
  <c r="W312" i="20"/>
  <c r="AC312" i="20" s="1"/>
  <c r="W311" i="20"/>
  <c r="W292" i="20"/>
  <c r="AC292" i="20" s="1"/>
  <c r="W285" i="20"/>
  <c r="W284" i="20" s="1"/>
  <c r="W266" i="20"/>
  <c r="AC266" i="20" s="1"/>
  <c r="C42" i="5"/>
  <c r="I47" i="5"/>
  <c r="W248" i="20"/>
  <c r="W241" i="20"/>
  <c r="W242" i="20"/>
  <c r="AC242" i="20" s="1"/>
  <c r="W231" i="20"/>
  <c r="W230" i="20" s="1"/>
  <c r="W226" i="20"/>
  <c r="AC226" i="20" s="1"/>
  <c r="W220" i="20"/>
  <c r="AC220" i="20" s="1"/>
  <c r="W214" i="20"/>
  <c r="AC214" i="20" s="1"/>
  <c r="W196" i="20"/>
  <c r="AC196" i="20" s="1"/>
  <c r="W195" i="20"/>
  <c r="AC195" i="20" s="1"/>
  <c r="W194" i="20"/>
  <c r="W192" i="20"/>
  <c r="AC192" i="20" s="1"/>
  <c r="W191" i="20"/>
  <c r="AC191" i="20" s="1"/>
  <c r="W190" i="20"/>
  <c r="AC190" i="20" s="1"/>
  <c r="W184" i="20"/>
  <c r="AC184" i="20" s="1"/>
  <c r="W177" i="20"/>
  <c r="AC177" i="20" s="1"/>
  <c r="W171" i="20"/>
  <c r="AC171" i="20" s="1"/>
  <c r="W170" i="20"/>
  <c r="W164" i="20"/>
  <c r="W157" i="20"/>
  <c r="W144" i="20"/>
  <c r="W141" i="20"/>
  <c r="W140" i="20" s="1"/>
  <c r="W136" i="20"/>
  <c r="AC136" i="20" s="1"/>
  <c r="W135" i="20"/>
  <c r="AC135" i="20" s="1"/>
  <c r="W134" i="20"/>
  <c r="D41" i="5"/>
  <c r="W119" i="20"/>
  <c r="W118" i="20" s="1"/>
  <c r="W106" i="20"/>
  <c r="AC106" i="20" s="1"/>
  <c r="W105" i="20"/>
  <c r="W104" i="20"/>
  <c r="W98" i="20"/>
  <c r="W87" i="20"/>
  <c r="W86" i="20" s="1"/>
  <c r="W80" i="20"/>
  <c r="W79" i="20" s="1"/>
  <c r="W72" i="20"/>
  <c r="W71" i="20" s="1"/>
  <c r="W70" i="20"/>
  <c r="W66" i="20" s="1"/>
  <c r="AA66" i="20"/>
  <c r="AA65" i="20" s="1"/>
  <c r="AA64" i="20" s="1"/>
  <c r="AA13" i="20" s="1"/>
  <c r="W62" i="20"/>
  <c r="AC62" i="20" s="1"/>
  <c r="W55" i="20"/>
  <c r="W56" i="20"/>
  <c r="AC56" i="20" s="1"/>
  <c r="W46" i="20"/>
  <c r="W45" i="20" s="1"/>
  <c r="W38" i="20"/>
  <c r="W37" i="20" s="1"/>
  <c r="W29" i="20"/>
  <c r="W28" i="20" s="1"/>
  <c r="W19" i="20"/>
  <c r="W18" i="20" s="1"/>
  <c r="W15" i="20" s="1"/>
  <c r="W14" i="20" s="1"/>
  <c r="V92" i="19"/>
  <c r="V90" i="19" s="1"/>
  <c r="V89" i="19" s="1"/>
  <c r="V88" i="19" s="1"/>
  <c r="W92" i="19"/>
  <c r="W90" i="19" s="1"/>
  <c r="W89" i="19" s="1"/>
  <c r="W88" i="19" s="1"/>
  <c r="W86" i="19"/>
  <c r="W84" i="19" s="1"/>
  <c r="W83" i="19" s="1"/>
  <c r="V86" i="19"/>
  <c r="V84" i="19" s="1"/>
  <c r="V83" i="19" s="1"/>
  <c r="W79" i="19"/>
  <c r="W77" i="19" s="1"/>
  <c r="W76" i="19" s="1"/>
  <c r="V79" i="19"/>
  <c r="V77" i="19" s="1"/>
  <c r="V76" i="19" s="1"/>
  <c r="V73" i="19"/>
  <c r="V71" i="19" s="1"/>
  <c r="V70" i="19" s="1"/>
  <c r="W73" i="19"/>
  <c r="W71" i="19" s="1"/>
  <c r="W70" i="19" s="1"/>
  <c r="W67" i="19"/>
  <c r="W65" i="19" s="1"/>
  <c r="W64" i="19" s="1"/>
  <c r="N37" i="5" s="1"/>
  <c r="V67" i="19"/>
  <c r="V65" i="19" s="1"/>
  <c r="V64" i="19" s="1"/>
  <c r="V58" i="19"/>
  <c r="V56" i="19" s="1"/>
  <c r="V55" i="19" s="1"/>
  <c r="W58" i="19"/>
  <c r="W56" i="19" s="1"/>
  <c r="W55" i="19" s="1"/>
  <c r="V51" i="19"/>
  <c r="V49" i="19" s="1"/>
  <c r="V48" i="19" s="1"/>
  <c r="V44" i="19"/>
  <c r="V42" i="19" s="1"/>
  <c r="V41" i="19" s="1"/>
  <c r="W44" i="19"/>
  <c r="W42" i="19" s="1"/>
  <c r="W41" i="19" s="1"/>
  <c r="V37" i="19"/>
  <c r="V35" i="19" s="1"/>
  <c r="V34" i="19" s="1"/>
  <c r="W37" i="19"/>
  <c r="W35" i="19" s="1"/>
  <c r="W34" i="19" s="1"/>
  <c r="W31" i="19"/>
  <c r="W29" i="19" s="1"/>
  <c r="W28" i="19" s="1"/>
  <c r="O31" i="5" s="1"/>
  <c r="V31" i="19"/>
  <c r="V29" i="19" s="1"/>
  <c r="V28" i="19" s="1"/>
  <c r="W23" i="19"/>
  <c r="W21" i="19" s="1"/>
  <c r="W20" i="19" s="1"/>
  <c r="V17" i="19"/>
  <c r="V15" i="19" s="1"/>
  <c r="V14" i="19" s="1"/>
  <c r="W17" i="19"/>
  <c r="W15" i="19" s="1"/>
  <c r="W14" i="19" s="1"/>
  <c r="V36" i="18"/>
  <c r="V35" i="18" s="1"/>
  <c r="V33" i="18" s="1"/>
  <c r="W36" i="18"/>
  <c r="W35" i="18" s="1"/>
  <c r="W33" i="18" s="1"/>
  <c r="V29" i="18"/>
  <c r="V27" i="18" s="1"/>
  <c r="W29" i="18"/>
  <c r="W27" i="18" s="1"/>
  <c r="V23" i="18"/>
  <c r="V21" i="18" s="1"/>
  <c r="W23" i="18"/>
  <c r="W21" i="18" s="1"/>
  <c r="V17" i="18"/>
  <c r="V15" i="18" s="1"/>
  <c r="V14" i="18" s="1"/>
  <c r="W17" i="18"/>
  <c r="W15" i="18" s="1"/>
  <c r="W14" i="18" s="1"/>
  <c r="W13" i="18" s="1"/>
  <c r="X873" i="20" l="1"/>
  <c r="Y873" i="20"/>
  <c r="Z873" i="20"/>
  <c r="AA873" i="20"/>
  <c r="AC105" i="20"/>
  <c r="W103" i="20"/>
  <c r="W1003" i="20"/>
  <c r="AC1004" i="20"/>
  <c r="AC726" i="20"/>
  <c r="W725" i="20"/>
  <c r="AC725" i="20" s="1"/>
  <c r="AC810" i="20"/>
  <c r="W809" i="20"/>
  <c r="AC710" i="20"/>
  <c r="W709" i="20"/>
  <c r="AC709" i="20" s="1"/>
  <c r="AC912" i="20"/>
  <c r="W911" i="20"/>
  <c r="AC852" i="20"/>
  <c r="W851" i="20"/>
  <c r="AC851" i="20" s="1"/>
  <c r="AC713" i="20"/>
  <c r="W712" i="20"/>
  <c r="AC712" i="20" s="1"/>
  <c r="AC741" i="20"/>
  <c r="W740" i="20"/>
  <c r="AC823" i="20"/>
  <c r="W822" i="20"/>
  <c r="W606" i="20"/>
  <c r="W604" i="20" s="1"/>
  <c r="AC733" i="20"/>
  <c r="W732" i="20"/>
  <c r="AC891" i="20"/>
  <c r="W890" i="20"/>
  <c r="AC885" i="20"/>
  <c r="W884" i="20"/>
  <c r="AC642" i="20"/>
  <c r="W641" i="20"/>
  <c r="AC702" i="20"/>
  <c r="W701" i="20"/>
  <c r="AC846" i="20"/>
  <c r="W845" i="20"/>
  <c r="AC845" i="20" s="1"/>
  <c r="AC860" i="20"/>
  <c r="W859" i="20"/>
  <c r="AC897" i="20"/>
  <c r="W896" i="20"/>
  <c r="W877" i="20"/>
  <c r="W875" i="20" s="1"/>
  <c r="W874" i="20" s="1"/>
  <c r="AC170" i="20"/>
  <c r="W169" i="20"/>
  <c r="AC344" i="20"/>
  <c r="W343" i="20"/>
  <c r="AC55" i="20"/>
  <c r="W54" i="20"/>
  <c r="AC241" i="20"/>
  <c r="W240" i="20"/>
  <c r="AC98" i="20"/>
  <c r="AC311" i="20"/>
  <c r="W310" i="20"/>
  <c r="AC104" i="20"/>
  <c r="AC134" i="20"/>
  <c r="W133" i="20"/>
  <c r="AC194" i="20"/>
  <c r="W193" i="20"/>
  <c r="AC193" i="20" s="1"/>
  <c r="AC878" i="20"/>
  <c r="AC12" i="20"/>
  <c r="W441" i="20"/>
  <c r="AC441" i="20" s="1"/>
  <c r="AC442" i="20"/>
  <c r="AC626" i="20"/>
  <c r="AC627" i="20"/>
  <c r="W443" i="20"/>
  <c r="AC443" i="20" s="1"/>
  <c r="AC444" i="20"/>
  <c r="AC548" i="20"/>
  <c r="AC689" i="20"/>
  <c r="AC71" i="20"/>
  <c r="AC72" i="20"/>
  <c r="AC140" i="20"/>
  <c r="AC141" i="20"/>
  <c r="W479" i="20"/>
  <c r="AC480" i="20"/>
  <c r="AC774" i="20"/>
  <c r="AC80" i="20"/>
  <c r="W143" i="20"/>
  <c r="AC143" i="20" s="1"/>
  <c r="AC144" i="20"/>
  <c r="AC285" i="20"/>
  <c r="AC644" i="20"/>
  <c r="AC645" i="20"/>
  <c r="AC790" i="20"/>
  <c r="W156" i="20"/>
  <c r="AC157" i="20"/>
  <c r="W909" i="20"/>
  <c r="AC909" i="20" s="1"/>
  <c r="AC910" i="20"/>
  <c r="W461" i="20"/>
  <c r="AC461" i="20" s="1"/>
  <c r="AC462" i="20"/>
  <c r="W923" i="20"/>
  <c r="AC924" i="20"/>
  <c r="W1001" i="20"/>
  <c r="AC1002" i="20"/>
  <c r="AC28" i="20"/>
  <c r="AC29" i="20"/>
  <c r="W163" i="20"/>
  <c r="AC164" i="20"/>
  <c r="W404" i="20"/>
  <c r="W403" i="20" s="1"/>
  <c r="AC405" i="20"/>
  <c r="AC504" i="20"/>
  <c r="AC505" i="20"/>
  <c r="W986" i="20"/>
  <c r="AC986" i="20" s="1"/>
  <c r="AC987" i="20"/>
  <c r="AC37" i="20"/>
  <c r="AC38" i="20"/>
  <c r="AC318" i="20"/>
  <c r="W463" i="20"/>
  <c r="AC463" i="20" s="1"/>
  <c r="AC464" i="20"/>
  <c r="AC515" i="20"/>
  <c r="AC516" i="20"/>
  <c r="W738" i="20"/>
  <c r="AC738" i="20" s="1"/>
  <c r="AC739" i="20"/>
  <c r="W928" i="20"/>
  <c r="AC929" i="20"/>
  <c r="AC46" i="20"/>
  <c r="W933" i="20"/>
  <c r="AC934" i="20"/>
  <c r="C78" i="5"/>
  <c r="AC1006" i="20"/>
  <c r="AC230" i="20"/>
  <c r="AC231" i="20"/>
  <c r="W332" i="20"/>
  <c r="AC332" i="20" s="1"/>
  <c r="AC333" i="20"/>
  <c r="W420" i="20"/>
  <c r="AC420" i="20" s="1"/>
  <c r="AC421" i="20"/>
  <c r="W657" i="20"/>
  <c r="AC657" i="20" s="1"/>
  <c r="AC658" i="20"/>
  <c r="AC119" i="20"/>
  <c r="AC607" i="20"/>
  <c r="W149" i="20"/>
  <c r="AC150" i="20"/>
  <c r="AC903" i="20"/>
  <c r="AC19" i="20"/>
  <c r="W918" i="20"/>
  <c r="AC919" i="20"/>
  <c r="W247" i="20"/>
  <c r="AC248" i="20"/>
  <c r="AC623" i="20"/>
  <c r="AC624" i="20"/>
  <c r="AC749" i="20"/>
  <c r="W990" i="20"/>
  <c r="AC990" i="20" s="1"/>
  <c r="AC991" i="20"/>
  <c r="W380" i="20"/>
  <c r="AC381" i="20"/>
  <c r="AC758" i="20"/>
  <c r="W952" i="20"/>
  <c r="AC952" i="20" s="1"/>
  <c r="AC953" i="20"/>
  <c r="AC866" i="20"/>
  <c r="W470" i="20"/>
  <c r="AC470" i="20" s="1"/>
  <c r="AC471" i="20"/>
  <c r="AC87" i="20"/>
  <c r="AC801" i="20"/>
  <c r="AC66" i="20"/>
  <c r="AC70" i="20"/>
  <c r="W472" i="20"/>
  <c r="AC472" i="20" s="1"/>
  <c r="AC473" i="20"/>
  <c r="W557" i="20"/>
  <c r="AC558" i="20"/>
  <c r="X982" i="20"/>
  <c r="Y982" i="20"/>
  <c r="Z982" i="20"/>
  <c r="AA982" i="20"/>
  <c r="W189" i="20"/>
  <c r="AC189" i="20" s="1"/>
  <c r="W540" i="20"/>
  <c r="W396" i="20"/>
  <c r="W395" i="20" s="1"/>
  <c r="W453" i="20"/>
  <c r="AC453" i="20" s="1"/>
  <c r="W368" i="20"/>
  <c r="W374" i="20"/>
  <c r="W434" i="20"/>
  <c r="W534" i="20"/>
  <c r="W663" i="20"/>
  <c r="W948" i="20"/>
  <c r="W265" i="20"/>
  <c r="W387" i="20"/>
  <c r="W386" i="20" s="1"/>
  <c r="W670" i="20"/>
  <c r="W719" i="20"/>
  <c r="W450" i="20"/>
  <c r="W994" i="20"/>
  <c r="W975" i="20"/>
  <c r="W956" i="20"/>
  <c r="W213" i="20"/>
  <c r="W486" i="20"/>
  <c r="W563" i="20"/>
  <c r="W961" i="20"/>
  <c r="W61" i="20"/>
  <c r="W219" i="20"/>
  <c r="W492" i="20"/>
  <c r="W568" i="20"/>
  <c r="W966" i="20"/>
  <c r="W291" i="20"/>
  <c r="W768" i="20"/>
  <c r="W980" i="20"/>
  <c r="W225" i="20"/>
  <c r="W499" i="20"/>
  <c r="X581" i="20"/>
  <c r="W350" i="20"/>
  <c r="W413" i="20"/>
  <c r="W412" i="20" s="1"/>
  <c r="Y581" i="20"/>
  <c r="W298" i="20"/>
  <c r="W176" i="20"/>
  <c r="W356" i="20"/>
  <c r="Z581" i="20"/>
  <c r="W303" i="20"/>
  <c r="W183" i="20"/>
  <c r="W362" i="20"/>
  <c r="W426" i="20"/>
  <c r="W527" i="20"/>
  <c r="W816" i="20"/>
  <c r="W814" i="20" s="1"/>
  <c r="C76" i="5"/>
  <c r="C80" i="5"/>
  <c r="T80" i="5" s="1"/>
  <c r="N55" i="5"/>
  <c r="M55" i="5" s="1"/>
  <c r="W335" i="20"/>
  <c r="C75" i="5"/>
  <c r="Z945" i="20"/>
  <c r="AA945" i="20"/>
  <c r="X945" i="20"/>
  <c r="Y945" i="20"/>
  <c r="AA449" i="20"/>
  <c r="AA447" i="20" s="1"/>
  <c r="AA446" i="20" s="1"/>
  <c r="AA306" i="20" s="1"/>
  <c r="X449" i="20"/>
  <c r="X447" i="20" s="1"/>
  <c r="X446" i="20" s="1"/>
  <c r="Y449" i="20"/>
  <c r="Y447" i="20" s="1"/>
  <c r="Y446" i="20" s="1"/>
  <c r="Y306" i="20" s="1"/>
  <c r="Z449" i="20"/>
  <c r="Z447" i="20" s="1"/>
  <c r="Z446" i="20" s="1"/>
  <c r="Z306" i="20" s="1"/>
  <c r="X419" i="20"/>
  <c r="X417" i="20" s="1"/>
  <c r="X416" i="20" s="1"/>
  <c r="AK2" i="20" l="1"/>
  <c r="AK7" i="20"/>
  <c r="X306" i="20"/>
  <c r="X305" i="20" s="1"/>
  <c r="X11" i="20" s="1"/>
  <c r="AO2" i="20"/>
  <c r="AO3" i="20" s="1"/>
  <c r="W908" i="20"/>
  <c r="AC450" i="20"/>
  <c r="W449" i="20"/>
  <c r="AC449" i="20" s="1"/>
  <c r="AC335" i="20"/>
  <c r="W334" i="20"/>
  <c r="AC1003" i="20"/>
  <c r="W655" i="20"/>
  <c r="AC655" i="20" s="1"/>
  <c r="W989" i="20"/>
  <c r="W988" i="20" s="1"/>
  <c r="W469" i="20"/>
  <c r="W467" i="20" s="1"/>
  <c r="W460" i="20"/>
  <c r="W458" i="20" s="1"/>
  <c r="W440" i="20"/>
  <c r="AC440" i="20" s="1"/>
  <c r="W139" i="20"/>
  <c r="W138" i="20" s="1"/>
  <c r="W984" i="20"/>
  <c r="W983" i="20" s="1"/>
  <c r="W348" i="20"/>
  <c r="AC350" i="20"/>
  <c r="W717" i="20"/>
  <c r="AC719" i="20"/>
  <c r="W787" i="20"/>
  <c r="AC789" i="20"/>
  <c r="W354" i="20"/>
  <c r="AC356" i="20"/>
  <c r="W498" i="20"/>
  <c r="AC499" i="20"/>
  <c r="W59" i="20"/>
  <c r="AC61" i="20"/>
  <c r="W668" i="20"/>
  <c r="AC670" i="20"/>
  <c r="W366" i="20"/>
  <c r="AC368" i="20"/>
  <c r="W755" i="20"/>
  <c r="AC757" i="20"/>
  <c r="W44" i="20"/>
  <c r="AC45" i="20"/>
  <c r="W175" i="20"/>
  <c r="AC176" i="20"/>
  <c r="W223" i="20"/>
  <c r="AC225" i="20"/>
  <c r="W959" i="20"/>
  <c r="AC961" i="20"/>
  <c r="W622" i="20"/>
  <c r="W820" i="20"/>
  <c r="AC822" i="20"/>
  <c r="W978" i="20"/>
  <c r="AC980" i="20"/>
  <c r="W378" i="20"/>
  <c r="AC380" i="20"/>
  <c r="W282" i="20"/>
  <c r="AC284" i="20"/>
  <c r="W766" i="20"/>
  <c r="AC768" i="20"/>
  <c r="W289" i="20"/>
  <c r="AC291" i="20"/>
  <c r="AC902" i="20"/>
  <c r="W901" i="20"/>
  <c r="AC901" i="20" s="1"/>
  <c r="W686" i="20"/>
  <c r="AC688" i="20"/>
  <c r="W419" i="20"/>
  <c r="AC426" i="20"/>
  <c r="W807" i="20"/>
  <c r="AC809" i="20"/>
  <c r="W964" i="20"/>
  <c r="AC966" i="20"/>
  <c r="W211" i="20"/>
  <c r="AC213" i="20"/>
  <c r="W894" i="20"/>
  <c r="AC896" i="20"/>
  <c r="AC18" i="20"/>
  <c r="AC816" i="20"/>
  <c r="W485" i="20"/>
  <c r="AC486" i="20"/>
  <c r="W746" i="20"/>
  <c r="AC748" i="20"/>
  <c r="W147" i="20"/>
  <c r="AC149" i="20"/>
  <c r="AC404" i="20"/>
  <c r="W77" i="20"/>
  <c r="AC79" i="20"/>
  <c r="W545" i="20"/>
  <c r="AC547" i="20"/>
  <c r="W737" i="20"/>
  <c r="AC740" i="20"/>
  <c r="W926" i="20"/>
  <c r="AC928" i="20"/>
  <c r="AC911" i="20"/>
  <c r="AC387" i="20"/>
  <c r="W295" i="20"/>
  <c r="AC298" i="20"/>
  <c r="W730" i="20"/>
  <c r="AC732" i="20"/>
  <c r="AC396" i="20"/>
  <c r="W229" i="20"/>
  <c r="AC240" i="20"/>
  <c r="W490" i="20"/>
  <c r="AC492" i="20"/>
  <c r="W973" i="20"/>
  <c r="AC975" i="20"/>
  <c r="W947" i="20"/>
  <c r="AC948" i="20"/>
  <c r="AC877" i="20"/>
  <c r="W168" i="20"/>
  <c r="AC169" i="20"/>
  <c r="W921" i="20"/>
  <c r="AC923" i="20"/>
  <c r="W798" i="20"/>
  <c r="AC800" i="20"/>
  <c r="W561" i="20"/>
  <c r="AC563" i="20"/>
  <c r="W525" i="20"/>
  <c r="AC527" i="20"/>
  <c r="W263" i="20"/>
  <c r="AC265" i="20"/>
  <c r="W131" i="20"/>
  <c r="AC133" i="20"/>
  <c r="W85" i="20"/>
  <c r="AC86" i="20"/>
  <c r="W888" i="20"/>
  <c r="AC890" i="20"/>
  <c r="W360" i="20"/>
  <c r="AC362" i="20"/>
  <c r="W567" i="20"/>
  <c r="AC568" i="20"/>
  <c r="W955" i="20"/>
  <c r="AC956" i="20"/>
  <c r="W65" i="20"/>
  <c r="W857" i="20"/>
  <c r="AC859" i="20"/>
  <c r="W181" i="20"/>
  <c r="AC183" i="20"/>
  <c r="W503" i="20"/>
  <c r="W341" i="20"/>
  <c r="AC343" i="20"/>
  <c r="W993" i="20"/>
  <c r="AC994" i="20"/>
  <c r="W661" i="20"/>
  <c r="AC663" i="20"/>
  <c r="W699" i="20"/>
  <c r="AC701" i="20"/>
  <c r="W308" i="20"/>
  <c r="AC310" i="20"/>
  <c r="W555" i="20"/>
  <c r="AC557" i="20"/>
  <c r="W863" i="20"/>
  <c r="AC865" i="20"/>
  <c r="AC606" i="20"/>
  <c r="W161" i="20"/>
  <c r="AC163" i="20"/>
  <c r="W154" i="20"/>
  <c r="AC156" i="20"/>
  <c r="W771" i="20"/>
  <c r="AC773" i="20"/>
  <c r="W52" i="20"/>
  <c r="AC54" i="20"/>
  <c r="AC413" i="20"/>
  <c r="W217" i="20"/>
  <c r="AC219" i="20"/>
  <c r="W532" i="20"/>
  <c r="AC534" i="20"/>
  <c r="W882" i="20"/>
  <c r="AC884" i="20"/>
  <c r="W27" i="20"/>
  <c r="W26" i="20" s="1"/>
  <c r="W433" i="20"/>
  <c r="AC434" i="20"/>
  <c r="W245" i="20"/>
  <c r="AC247" i="20"/>
  <c r="W372" i="20"/>
  <c r="AC374" i="20"/>
  <c r="W538" i="20"/>
  <c r="AC540" i="20"/>
  <c r="W301" i="20"/>
  <c r="AC303" i="20"/>
  <c r="W102" i="20"/>
  <c r="AC103" i="20"/>
  <c r="W640" i="20"/>
  <c r="AC641" i="20"/>
  <c r="W116" i="20"/>
  <c r="AC118" i="20"/>
  <c r="W931" i="20"/>
  <c r="AC933" i="20"/>
  <c r="W315" i="20"/>
  <c r="AC317" i="20"/>
  <c r="W478" i="20"/>
  <c r="AC479" i="20"/>
  <c r="W916" i="20"/>
  <c r="AC918" i="20"/>
  <c r="W999" i="20"/>
  <c r="AC1001" i="20"/>
  <c r="W188" i="20"/>
  <c r="W708" i="20"/>
  <c r="Z305" i="20"/>
  <c r="Y305" i="20"/>
  <c r="Y11" i="20" s="1"/>
  <c r="W844" i="20"/>
  <c r="W723" i="20"/>
  <c r="U55" i="5"/>
  <c r="S55" i="5"/>
  <c r="AE11" i="20" l="1"/>
  <c r="AE7" i="20" s="1"/>
  <c r="AF11" i="20"/>
  <c r="AF7" i="20" s="1"/>
  <c r="AC983" i="20"/>
  <c r="W654" i="20"/>
  <c r="AC654" i="20" s="1"/>
  <c r="W438" i="20"/>
  <c r="W437" i="20" s="1"/>
  <c r="AC469" i="20"/>
  <c r="AC139" i="20"/>
  <c r="AC984" i="20"/>
  <c r="AC989" i="20"/>
  <c r="AC460" i="20"/>
  <c r="W340" i="20"/>
  <c r="AC341" i="20"/>
  <c r="W972" i="20"/>
  <c r="AC973" i="20"/>
  <c r="W496" i="20"/>
  <c r="AC498" i="20"/>
  <c r="W722" i="20"/>
  <c r="AC723" i="20"/>
  <c r="W476" i="20"/>
  <c r="AC478" i="20"/>
  <c r="W101" i="20"/>
  <c r="AC102" i="20"/>
  <c r="W244" i="20"/>
  <c r="AC245" i="20"/>
  <c r="W502" i="20"/>
  <c r="AC503" i="20"/>
  <c r="W377" i="20"/>
  <c r="AC378" i="20"/>
  <c r="W281" i="20"/>
  <c r="W280" i="20" s="1"/>
  <c r="AC282" i="20"/>
  <c r="W707" i="20"/>
  <c r="AC708" i="20"/>
  <c r="W862" i="20"/>
  <c r="AC863" i="20"/>
  <c r="W359" i="20"/>
  <c r="AC360" i="20"/>
  <c r="W174" i="20"/>
  <c r="AC175" i="20"/>
  <c r="W187" i="20"/>
  <c r="H63" i="5" s="1"/>
  <c r="AC188" i="20"/>
  <c r="W51" i="20"/>
  <c r="AC52" i="20"/>
  <c r="W554" i="20"/>
  <c r="AC555" i="20"/>
  <c r="W887" i="20"/>
  <c r="AC888" i="20"/>
  <c r="W797" i="20"/>
  <c r="AC798" i="20"/>
  <c r="W489" i="20"/>
  <c r="AC490" i="20"/>
  <c r="W384" i="20"/>
  <c r="AC386" i="20"/>
  <c r="W401" i="20"/>
  <c r="AC403" i="20"/>
  <c r="W466" i="20"/>
  <c r="AC467" i="20"/>
  <c r="W685" i="20"/>
  <c r="AC686" i="20"/>
  <c r="W43" i="20"/>
  <c r="AC44" i="20"/>
  <c r="W353" i="20"/>
  <c r="AC354" i="20"/>
  <c r="W294" i="20"/>
  <c r="AC295" i="20"/>
  <c r="W314" i="20"/>
  <c r="AC315" i="20"/>
  <c r="W300" i="20"/>
  <c r="AC301" i="20"/>
  <c r="W431" i="20"/>
  <c r="AC433" i="20"/>
  <c r="W180" i="20"/>
  <c r="AC181" i="20"/>
  <c r="W977" i="20"/>
  <c r="AC978" i="20"/>
  <c r="W560" i="20"/>
  <c r="AC561" i="20"/>
  <c r="W930" i="20"/>
  <c r="AC930" i="20" s="1"/>
  <c r="AC931" i="20"/>
  <c r="W537" i="20"/>
  <c r="AC538" i="20"/>
  <c r="W856" i="20"/>
  <c r="AC857" i="20"/>
  <c r="W900" i="20"/>
  <c r="AC900" i="20" s="1"/>
  <c r="W819" i="20"/>
  <c r="AC820" i="20"/>
  <c r="Q25" i="5"/>
  <c r="AC988" i="20"/>
  <c r="W84" i="20"/>
  <c r="AC85" i="20"/>
  <c r="W146" i="20"/>
  <c r="AC147" i="20"/>
  <c r="W881" i="20"/>
  <c r="AC882" i="20"/>
  <c r="W153" i="20"/>
  <c r="AC154" i="20"/>
  <c r="W698" i="20"/>
  <c r="AC699" i="20"/>
  <c r="W64" i="20"/>
  <c r="AC65" i="20"/>
  <c r="W130" i="20"/>
  <c r="AC131" i="20"/>
  <c r="W167" i="20"/>
  <c r="AC168" i="20"/>
  <c r="W393" i="20"/>
  <c r="AC395" i="20"/>
  <c r="W925" i="20"/>
  <c r="AC925" i="20" s="1"/>
  <c r="AC926" i="20"/>
  <c r="W745" i="20"/>
  <c r="AC746" i="20"/>
  <c r="W210" i="20"/>
  <c r="AC211" i="20"/>
  <c r="W621" i="20"/>
  <c r="AC622" i="20"/>
  <c r="W365" i="20"/>
  <c r="AC366" i="20"/>
  <c r="W716" i="20"/>
  <c r="AC717" i="20"/>
  <c r="W331" i="20"/>
  <c r="AC334" i="20"/>
  <c r="W76" i="20"/>
  <c r="AC77" i="20"/>
  <c r="Q32" i="5"/>
  <c r="W770" i="20"/>
  <c r="AC771" i="20"/>
  <c r="W920" i="20"/>
  <c r="AC920" i="20" s="1"/>
  <c r="AC921" i="20"/>
  <c r="W893" i="20"/>
  <c r="AC894" i="20"/>
  <c r="W998" i="20"/>
  <c r="W997" i="20" s="1"/>
  <c r="AC999" i="20"/>
  <c r="W115" i="20"/>
  <c r="AC116" i="20"/>
  <c r="D37" i="5"/>
  <c r="AC138" i="20"/>
  <c r="W288" i="20"/>
  <c r="AC289" i="20"/>
  <c r="W410" i="20"/>
  <c r="AC412" i="20"/>
  <c r="W417" i="20"/>
  <c r="AC419" i="20"/>
  <c r="W307" i="20"/>
  <c r="AC308" i="20"/>
  <c r="W907" i="20"/>
  <c r="AC908" i="20"/>
  <c r="W754" i="20"/>
  <c r="AC755" i="20"/>
  <c r="W531" i="20"/>
  <c r="AC532" i="20"/>
  <c r="W160" i="20"/>
  <c r="AC161" i="20"/>
  <c r="W660" i="20"/>
  <c r="AC661" i="20"/>
  <c r="W954" i="20"/>
  <c r="AC955" i="20"/>
  <c r="W262" i="20"/>
  <c r="AC263" i="20"/>
  <c r="AC875" i="20"/>
  <c r="W729" i="20"/>
  <c r="AC730" i="20"/>
  <c r="W736" i="20"/>
  <c r="AC737" i="20"/>
  <c r="W483" i="20"/>
  <c r="AC485" i="20"/>
  <c r="W963" i="20"/>
  <c r="AC964" i="20"/>
  <c r="W958" i="20"/>
  <c r="AC959" i="20"/>
  <c r="W667" i="20"/>
  <c r="AC668" i="20"/>
  <c r="W347" i="20"/>
  <c r="AC348" i="20"/>
  <c r="AC15" i="20"/>
  <c r="AC27" i="20"/>
  <c r="W228" i="20"/>
  <c r="AC228" i="20" s="1"/>
  <c r="AC229" i="20"/>
  <c r="W786" i="20"/>
  <c r="AC787" i="20"/>
  <c r="W843" i="20"/>
  <c r="AC843" i="20" s="1"/>
  <c r="AC844" i="20"/>
  <c r="W915" i="20"/>
  <c r="AC915" i="20" s="1"/>
  <c r="AC916" i="20"/>
  <c r="W639" i="20"/>
  <c r="AC639" i="20" s="1"/>
  <c r="AC640" i="20"/>
  <c r="W371" i="20"/>
  <c r="AC372" i="20"/>
  <c r="W765" i="20"/>
  <c r="AC766" i="20"/>
  <c r="W216" i="20"/>
  <c r="AC217" i="20"/>
  <c r="W603" i="20"/>
  <c r="AC603" i="20" s="1"/>
  <c r="AC604" i="20"/>
  <c r="W992" i="20"/>
  <c r="W982" i="20" s="1"/>
  <c r="AC993" i="20"/>
  <c r="W566" i="20"/>
  <c r="AC567" i="20"/>
  <c r="W524" i="20"/>
  <c r="AC525" i="20"/>
  <c r="W946" i="20"/>
  <c r="AC947" i="20"/>
  <c r="W457" i="20"/>
  <c r="AC458" i="20"/>
  <c r="W544" i="20"/>
  <c r="AC545" i="20"/>
  <c r="W813" i="20"/>
  <c r="AC814" i="20"/>
  <c r="W806" i="20"/>
  <c r="AC807" i="20"/>
  <c r="W222" i="20"/>
  <c r="AC223" i="20"/>
  <c r="W58" i="20"/>
  <c r="AC59" i="20"/>
  <c r="W447" i="20"/>
  <c r="W209" i="20" l="1"/>
  <c r="AC209" i="20" s="1"/>
  <c r="W873" i="20"/>
  <c r="AC873" i="20" s="1"/>
  <c r="C25" i="5"/>
  <c r="W945" i="20"/>
  <c r="AC945" i="20" s="1"/>
  <c r="W287" i="20"/>
  <c r="AC287" i="20" s="1"/>
  <c r="AC982" i="20"/>
  <c r="N63" i="5"/>
  <c r="AC438" i="20"/>
  <c r="I23" i="5"/>
  <c r="C23" i="5" s="1"/>
  <c r="N44" i="5"/>
  <c r="M44" i="5" s="1"/>
  <c r="U44" i="5" s="1"/>
  <c r="W392" i="20"/>
  <c r="AC393" i="20"/>
  <c r="AC881" i="20"/>
  <c r="D62" i="5"/>
  <c r="AC43" i="20"/>
  <c r="AC797" i="20"/>
  <c r="N36" i="5"/>
  <c r="O56" i="5"/>
  <c r="AC359" i="20"/>
  <c r="AC340" i="20"/>
  <c r="O37" i="5"/>
  <c r="M37" i="5" s="1"/>
  <c r="N45" i="5"/>
  <c r="M45" i="5" s="1"/>
  <c r="AC806" i="20"/>
  <c r="O72" i="5"/>
  <c r="M72" i="5" s="1"/>
  <c r="AC566" i="20"/>
  <c r="AC14" i="20"/>
  <c r="D55" i="5"/>
  <c r="C55" i="5" s="1"/>
  <c r="N46" i="5"/>
  <c r="M46" i="5" s="1"/>
  <c r="AC736" i="20"/>
  <c r="W159" i="20"/>
  <c r="AC159" i="20" s="1"/>
  <c r="AC160" i="20"/>
  <c r="F29" i="5"/>
  <c r="W409" i="20"/>
  <c r="AC410" i="20"/>
  <c r="AC893" i="20"/>
  <c r="AC537" i="20"/>
  <c r="O38" i="5"/>
  <c r="M38" i="5" s="1"/>
  <c r="L36" i="5"/>
  <c r="AC300" i="20"/>
  <c r="AC167" i="20"/>
  <c r="G62" i="5"/>
  <c r="W166" i="20"/>
  <c r="AC685" i="20"/>
  <c r="N56" i="5"/>
  <c r="O32" i="5"/>
  <c r="AC531" i="20"/>
  <c r="AC621" i="20"/>
  <c r="N47" i="5"/>
  <c r="M47" i="5" s="1"/>
  <c r="D32" i="5"/>
  <c r="AC130" i="20"/>
  <c r="AC84" i="20"/>
  <c r="D47" i="5"/>
  <c r="O17" i="5"/>
  <c r="M17" i="5" s="1"/>
  <c r="AC466" i="20"/>
  <c r="AC554" i="20"/>
  <c r="O34" i="5"/>
  <c r="N62" i="5"/>
  <c r="M62" i="5" s="1"/>
  <c r="AC707" i="20"/>
  <c r="W475" i="20"/>
  <c r="AC476" i="20"/>
  <c r="AC544" i="20"/>
  <c r="O36" i="5"/>
  <c r="N61" i="5"/>
  <c r="AC667" i="20"/>
  <c r="AC874" i="20"/>
  <c r="AC754" i="20"/>
  <c r="N48" i="5"/>
  <c r="M48" i="5" s="1"/>
  <c r="AC288" i="20"/>
  <c r="L62" i="5"/>
  <c r="AC770" i="20"/>
  <c r="N41" i="5"/>
  <c r="O39" i="5"/>
  <c r="M39" i="5" s="1"/>
  <c r="AC560" i="20"/>
  <c r="AC146" i="20"/>
  <c r="D26" i="5"/>
  <c r="N34" i="5"/>
  <c r="AC813" i="20"/>
  <c r="N21" i="5"/>
  <c r="AC729" i="20"/>
  <c r="AC314" i="20"/>
  <c r="O64" i="5"/>
  <c r="M64" i="5" s="1"/>
  <c r="L44" i="5"/>
  <c r="AC294" i="20"/>
  <c r="AC786" i="20"/>
  <c r="N32" i="5"/>
  <c r="AC907" i="20"/>
  <c r="P33" i="5"/>
  <c r="AC977" i="20"/>
  <c r="O53" i="5"/>
  <c r="AC365" i="20"/>
  <c r="AC887" i="20"/>
  <c r="W400" i="20"/>
  <c r="AC401" i="20"/>
  <c r="P53" i="5"/>
  <c r="AC958" i="20"/>
  <c r="N40" i="5"/>
  <c r="M40" i="5" s="1"/>
  <c r="C40" i="5" s="1"/>
  <c r="AC76" i="20"/>
  <c r="D44" i="5"/>
  <c r="AC745" i="20"/>
  <c r="N49" i="5"/>
  <c r="M49" i="5" s="1"/>
  <c r="N53" i="5"/>
  <c r="AC698" i="20"/>
  <c r="N33" i="5"/>
  <c r="M33" i="5" s="1"/>
  <c r="AC819" i="20"/>
  <c r="W383" i="20"/>
  <c r="AC384" i="20"/>
  <c r="W186" i="20"/>
  <c r="AC186" i="20" s="1"/>
  <c r="AC187" i="20"/>
  <c r="AC377" i="20"/>
  <c r="O60" i="5"/>
  <c r="M60" i="5" s="1"/>
  <c r="W495" i="20"/>
  <c r="AC496" i="20"/>
  <c r="Q43" i="5"/>
  <c r="Q9" i="5" s="1"/>
  <c r="AC992" i="20"/>
  <c r="N58" i="5"/>
  <c r="M58" i="5" s="1"/>
  <c r="AC722" i="20"/>
  <c r="P63" i="5"/>
  <c r="AC946" i="20"/>
  <c r="P46" i="5"/>
  <c r="AC963" i="20"/>
  <c r="P56" i="5"/>
  <c r="AC954" i="20"/>
  <c r="AC307" i="20"/>
  <c r="O10" i="5"/>
  <c r="M10" i="5" s="1"/>
  <c r="AC115" i="20"/>
  <c r="D35" i="5"/>
  <c r="AC180" i="20"/>
  <c r="G39" i="5"/>
  <c r="W446" i="20"/>
  <c r="AC447" i="20"/>
  <c r="AC862" i="20"/>
  <c r="N74" i="5"/>
  <c r="M74" i="5" s="1"/>
  <c r="O61" i="5"/>
  <c r="AC347" i="20"/>
  <c r="AC64" i="20"/>
  <c r="D46" i="5"/>
  <c r="AC280" i="20"/>
  <c r="AC281" i="20"/>
  <c r="K38" i="5"/>
  <c r="O16" i="5"/>
  <c r="M16" i="5" s="1"/>
  <c r="AC457" i="20"/>
  <c r="I35" i="5"/>
  <c r="AC262" i="20"/>
  <c r="D54" i="5"/>
  <c r="AC58" i="20"/>
  <c r="W330" i="20"/>
  <c r="AC331" i="20"/>
  <c r="W152" i="20"/>
  <c r="AC152" i="20" s="1"/>
  <c r="AC153" i="20"/>
  <c r="E24" i="5"/>
  <c r="O57" i="5"/>
  <c r="AC353" i="20"/>
  <c r="O19" i="5"/>
  <c r="M19" i="5" s="1"/>
  <c r="AC489" i="20"/>
  <c r="G47" i="5"/>
  <c r="AC174" i="20"/>
  <c r="AC502" i="20"/>
  <c r="O11" i="5"/>
  <c r="M11" i="5" s="1"/>
  <c r="P48" i="5"/>
  <c r="AC972" i="20"/>
  <c r="D49" i="5"/>
  <c r="AC101" i="20"/>
  <c r="O70" i="5"/>
  <c r="M70" i="5" s="1"/>
  <c r="AC437" i="20"/>
  <c r="AC210" i="20"/>
  <c r="I53" i="5"/>
  <c r="D59" i="5"/>
  <c r="AC51" i="20"/>
  <c r="I59" i="5"/>
  <c r="AC216" i="20"/>
  <c r="N35" i="5"/>
  <c r="M35" i="5" s="1"/>
  <c r="AC765" i="20"/>
  <c r="I54" i="5"/>
  <c r="AC222" i="20"/>
  <c r="O41" i="5"/>
  <c r="AC524" i="20"/>
  <c r="O63" i="5"/>
  <c r="AC371" i="20"/>
  <c r="AC26" i="20"/>
  <c r="D56" i="5"/>
  <c r="W482" i="20"/>
  <c r="AC483" i="20"/>
  <c r="N57" i="5"/>
  <c r="AC660" i="20"/>
  <c r="W416" i="20"/>
  <c r="AC417" i="20"/>
  <c r="AC998" i="20"/>
  <c r="AC856" i="20"/>
  <c r="N66" i="5"/>
  <c r="M66" i="5" s="1"/>
  <c r="W430" i="20"/>
  <c r="AC431" i="20"/>
  <c r="N54" i="5"/>
  <c r="M54" i="5" s="1"/>
  <c r="AC716" i="20"/>
  <c r="AC244" i="20"/>
  <c r="I50" i="5"/>
  <c r="C50" i="5" s="1"/>
  <c r="H9" i="5"/>
  <c r="H83" i="5" s="1"/>
  <c r="M21" i="5" l="1"/>
  <c r="W306" i="20"/>
  <c r="AC306" i="20" s="1"/>
  <c r="AC166" i="20"/>
  <c r="M53" i="5"/>
  <c r="U53" i="5" s="1"/>
  <c r="M63" i="5"/>
  <c r="S63" i="5" s="1"/>
  <c r="S44" i="5"/>
  <c r="M56" i="5"/>
  <c r="C56" i="5" s="1"/>
  <c r="H84" i="5"/>
  <c r="C26" i="5"/>
  <c r="P9" i="5"/>
  <c r="M34" i="5"/>
  <c r="C34" i="5" s="1"/>
  <c r="C59" i="5"/>
  <c r="I9" i="5"/>
  <c r="M32" i="5"/>
  <c r="S32" i="5" s="1"/>
  <c r="M61" i="5"/>
  <c r="C61" i="5" s="1"/>
  <c r="C54" i="5"/>
  <c r="C49" i="5"/>
  <c r="U39" i="5"/>
  <c r="S39" i="5"/>
  <c r="S33" i="5"/>
  <c r="C33" i="5"/>
  <c r="U33" i="5"/>
  <c r="C29" i="5"/>
  <c r="F9" i="5"/>
  <c r="S40" i="5"/>
  <c r="O14" i="5"/>
  <c r="M14" i="5" s="1"/>
  <c r="AC430" i="20"/>
  <c r="U74" i="5"/>
  <c r="S74" i="5"/>
  <c r="C74" i="5"/>
  <c r="O13" i="5"/>
  <c r="M13" i="5" s="1"/>
  <c r="AC409" i="20"/>
  <c r="U37" i="5"/>
  <c r="S37" i="5"/>
  <c r="C37" i="5"/>
  <c r="C19" i="5"/>
  <c r="S19" i="5"/>
  <c r="U19" i="5"/>
  <c r="AC446" i="20"/>
  <c r="S17" i="5"/>
  <c r="C17" i="5"/>
  <c r="U17" i="5"/>
  <c r="C47" i="5"/>
  <c r="M36" i="5"/>
  <c r="C70" i="5"/>
  <c r="S70" i="5"/>
  <c r="U70" i="5"/>
  <c r="K9" i="5"/>
  <c r="C38" i="5"/>
  <c r="S46" i="5"/>
  <c r="U46" i="5"/>
  <c r="AC416" i="20"/>
  <c r="O69" i="5"/>
  <c r="M69" i="5" s="1"/>
  <c r="C35" i="5"/>
  <c r="U58" i="5"/>
  <c r="S58" i="5"/>
  <c r="C58" i="5"/>
  <c r="AC400" i="20"/>
  <c r="O68" i="5"/>
  <c r="M68" i="5" s="1"/>
  <c r="M41" i="5"/>
  <c r="J28" i="5"/>
  <c r="AC997" i="20"/>
  <c r="AC383" i="20"/>
  <c r="O12" i="5"/>
  <c r="M12" i="5" s="1"/>
  <c r="U38" i="5"/>
  <c r="S38" i="5"/>
  <c r="C62" i="5"/>
  <c r="C66" i="5"/>
  <c r="S66" i="5"/>
  <c r="U66" i="5"/>
  <c r="G9" i="5"/>
  <c r="C39" i="5"/>
  <c r="C24" i="5"/>
  <c r="E9" i="5"/>
  <c r="E83" i="5" s="1"/>
  <c r="C46" i="5"/>
  <c r="C10" i="5"/>
  <c r="S10" i="5"/>
  <c r="U10" i="5"/>
  <c r="C64" i="5"/>
  <c r="U64" i="5"/>
  <c r="S64" i="5"/>
  <c r="U47" i="5"/>
  <c r="S47" i="5"/>
  <c r="M57" i="5"/>
  <c r="S49" i="5"/>
  <c r="U49" i="5"/>
  <c r="AC475" i="20"/>
  <c r="O71" i="5"/>
  <c r="M71" i="5" s="1"/>
  <c r="C72" i="5"/>
  <c r="S72" i="5"/>
  <c r="U72" i="5"/>
  <c r="U16" i="5"/>
  <c r="C16" i="5"/>
  <c r="S16" i="5"/>
  <c r="O15" i="5"/>
  <c r="M15" i="5" s="1"/>
  <c r="C15" i="5" s="1"/>
  <c r="S35" i="5"/>
  <c r="U35" i="5"/>
  <c r="S54" i="5"/>
  <c r="U54" i="5"/>
  <c r="O18" i="5"/>
  <c r="M18" i="5" s="1"/>
  <c r="AC482" i="20"/>
  <c r="C11" i="5"/>
  <c r="S11" i="5"/>
  <c r="U11" i="5"/>
  <c r="AC330" i="20"/>
  <c r="O43" i="5"/>
  <c r="O20" i="5"/>
  <c r="M20" i="5" s="1"/>
  <c r="AC495" i="20"/>
  <c r="U40" i="5"/>
  <c r="C60" i="5"/>
  <c r="S60" i="5"/>
  <c r="U60" i="5"/>
  <c r="U21" i="5"/>
  <c r="S21" i="5"/>
  <c r="C21" i="5"/>
  <c r="U48" i="5"/>
  <c r="C48" i="5"/>
  <c r="S48" i="5"/>
  <c r="S62" i="5"/>
  <c r="U62" i="5"/>
  <c r="C45" i="5"/>
  <c r="U45" i="5"/>
  <c r="S45" i="5"/>
  <c r="AC392" i="20"/>
  <c r="O67" i="5"/>
  <c r="M67" i="5" s="1"/>
  <c r="C53" i="5" l="1"/>
  <c r="S53" i="5"/>
  <c r="U63" i="5"/>
  <c r="C63" i="5"/>
  <c r="S56" i="5"/>
  <c r="U56" i="5"/>
  <c r="S34" i="5"/>
  <c r="U34" i="5"/>
  <c r="S15" i="5"/>
  <c r="C32" i="5"/>
  <c r="E84" i="5"/>
  <c r="U15" i="5"/>
  <c r="U32" i="5"/>
  <c r="U61" i="5"/>
  <c r="S61" i="5"/>
  <c r="U12" i="5"/>
  <c r="C12" i="5"/>
  <c r="S12" i="5"/>
  <c r="C20" i="5"/>
  <c r="S20" i="5"/>
  <c r="U20" i="5"/>
  <c r="C69" i="5"/>
  <c r="U69" i="5"/>
  <c r="S69" i="5"/>
  <c r="U57" i="5"/>
  <c r="C57" i="5"/>
  <c r="S57" i="5"/>
  <c r="C13" i="5"/>
  <c r="U13" i="5"/>
  <c r="S13" i="5"/>
  <c r="S36" i="5"/>
  <c r="U36" i="5"/>
  <c r="O9" i="5"/>
  <c r="C67" i="5"/>
  <c r="U67" i="5"/>
  <c r="S67" i="5"/>
  <c r="S68" i="5"/>
  <c r="U68" i="5"/>
  <c r="C68" i="5"/>
  <c r="C36" i="5"/>
  <c r="C41" i="5"/>
  <c r="U41" i="5"/>
  <c r="S41" i="5"/>
  <c r="S18" i="5"/>
  <c r="C18" i="5"/>
  <c r="U18" i="5"/>
  <c r="C71" i="5"/>
  <c r="U71" i="5"/>
  <c r="S71" i="5"/>
  <c r="C14" i="5"/>
  <c r="U14" i="5"/>
  <c r="S14" i="5"/>
  <c r="C28" i="5"/>
  <c r="J9" i="5"/>
  <c r="N65" i="5" l="1"/>
  <c r="M65" i="5" s="1"/>
  <c r="U65" i="5" l="1"/>
  <c r="S65" i="5"/>
  <c r="C65" i="5"/>
  <c r="M643" i="20"/>
  <c r="M642" i="20"/>
  <c r="V70" i="20"/>
  <c r="V66" i="20" s="1"/>
  <c r="V65" i="20" s="1"/>
  <c r="V64" i="20" s="1"/>
  <c r="W51" i="19"/>
  <c r="W49" i="19" s="1"/>
  <c r="W48" i="19" s="1"/>
  <c r="M641" i="20" l="1"/>
  <c r="M640" i="20" s="1"/>
  <c r="M639" i="20" s="1"/>
  <c r="Z99" i="20"/>
  <c r="Z97" i="20" s="1"/>
  <c r="Z95" i="20" s="1"/>
  <c r="Z94" i="20" s="1"/>
  <c r="Z13" i="20" s="1"/>
  <c r="Z11" i="20" s="1"/>
  <c r="V9" i="5"/>
  <c r="W99" i="20" l="1"/>
  <c r="W97" i="20" s="1"/>
  <c r="AG11" i="20" l="1"/>
  <c r="AG7" i="20" s="1"/>
  <c r="AC99" i="20"/>
  <c r="W95" i="20" l="1"/>
  <c r="AC97" i="20"/>
  <c r="AC586" i="20"/>
  <c r="U727" i="20"/>
  <c r="R727" i="20" s="1"/>
  <c r="W40" i="19"/>
  <c r="K86" i="19"/>
  <c r="L86" i="19"/>
  <c r="M86" i="19"/>
  <c r="N86" i="19"/>
  <c r="O86" i="19"/>
  <c r="P86" i="19"/>
  <c r="Q86" i="19"/>
  <c r="S86" i="19"/>
  <c r="T86" i="19"/>
  <c r="U86" i="19"/>
  <c r="J86" i="19"/>
  <c r="W13" i="19"/>
  <c r="K37" i="19"/>
  <c r="L37" i="19"/>
  <c r="M37" i="19"/>
  <c r="O37" i="19"/>
  <c r="P37" i="19"/>
  <c r="Q37" i="19"/>
  <c r="S37" i="19"/>
  <c r="T37" i="19"/>
  <c r="U37" i="19"/>
  <c r="J37" i="19"/>
  <c r="K17" i="19"/>
  <c r="L17" i="19"/>
  <c r="M17" i="19"/>
  <c r="N17" i="19"/>
  <c r="O17" i="19"/>
  <c r="P17" i="19"/>
  <c r="Q17" i="19"/>
  <c r="T17" i="19"/>
  <c r="U17" i="19"/>
  <c r="J17" i="19"/>
  <c r="J15" i="19" s="1"/>
  <c r="V1001" i="20"/>
  <c r="V999" i="20" s="1"/>
  <c r="V998" i="20" s="1"/>
  <c r="V997" i="20" s="1"/>
  <c r="U1001" i="20"/>
  <c r="U999" i="20" s="1"/>
  <c r="U998" i="20" s="1"/>
  <c r="U997" i="20" s="1"/>
  <c r="T1001" i="20"/>
  <c r="T999" i="20" s="1"/>
  <c r="T998" i="20" s="1"/>
  <c r="T997" i="20" s="1"/>
  <c r="S1001" i="20"/>
  <c r="S999" i="20" s="1"/>
  <c r="S998" i="20" s="1"/>
  <c r="S997" i="20" s="1"/>
  <c r="R1001" i="20"/>
  <c r="R999" i="20" s="1"/>
  <c r="R998" i="20" s="1"/>
  <c r="R997" i="20" s="1"/>
  <c r="Q1001" i="20"/>
  <c r="Q999" i="20" s="1"/>
  <c r="Q998" i="20" s="1"/>
  <c r="Q997" i="20" s="1"/>
  <c r="P1001" i="20"/>
  <c r="P999" i="20" s="1"/>
  <c r="P998" i="20" s="1"/>
  <c r="P997" i="20" s="1"/>
  <c r="O1001" i="20"/>
  <c r="O999" i="20" s="1"/>
  <c r="O998" i="20" s="1"/>
  <c r="O997" i="20" s="1"/>
  <c r="N1001" i="20"/>
  <c r="N999" i="20" s="1"/>
  <c r="N998" i="20" s="1"/>
  <c r="N997" i="20" s="1"/>
  <c r="M1001" i="20"/>
  <c r="M999" i="20" s="1"/>
  <c r="M998" i="20" s="1"/>
  <c r="M997" i="20" s="1"/>
  <c r="L1001" i="20"/>
  <c r="L999" i="20" s="1"/>
  <c r="L998" i="20" s="1"/>
  <c r="L997" i="20" s="1"/>
  <c r="K1001" i="20"/>
  <c r="K999" i="20" s="1"/>
  <c r="K998" i="20" s="1"/>
  <c r="K997" i="20" s="1"/>
  <c r="J1001" i="20"/>
  <c r="J999" i="20" s="1"/>
  <c r="J998" i="20" s="1"/>
  <c r="J997" i="20" s="1"/>
  <c r="AB999" i="20"/>
  <c r="J994" i="20"/>
  <c r="J993" i="20" s="1"/>
  <c r="J992" i="20" s="1"/>
  <c r="V990" i="20"/>
  <c r="V989" i="20" s="1"/>
  <c r="V988" i="20" s="1"/>
  <c r="U990" i="20"/>
  <c r="U989" i="20" s="1"/>
  <c r="U988" i="20" s="1"/>
  <c r="T990" i="20"/>
  <c r="T989" i="20" s="1"/>
  <c r="T988" i="20" s="1"/>
  <c r="S990" i="20"/>
  <c r="S989" i="20" s="1"/>
  <c r="S988" i="20" s="1"/>
  <c r="R990" i="20"/>
  <c r="R989" i="20" s="1"/>
  <c r="R988" i="20" s="1"/>
  <c r="Q990" i="20"/>
  <c r="Q989" i="20" s="1"/>
  <c r="Q988" i="20" s="1"/>
  <c r="P990" i="20"/>
  <c r="P989" i="20" s="1"/>
  <c r="P988" i="20" s="1"/>
  <c r="O990" i="20"/>
  <c r="O989" i="20" s="1"/>
  <c r="O988" i="20" s="1"/>
  <c r="N990" i="20"/>
  <c r="N989" i="20" s="1"/>
  <c r="N988" i="20" s="1"/>
  <c r="M990" i="20"/>
  <c r="M989" i="20" s="1"/>
  <c r="M988" i="20" s="1"/>
  <c r="L990" i="20"/>
  <c r="L989" i="20" s="1"/>
  <c r="L988" i="20" s="1"/>
  <c r="K990" i="20"/>
  <c r="K989" i="20" s="1"/>
  <c r="K988" i="20" s="1"/>
  <c r="J990" i="20"/>
  <c r="J989" i="20" s="1"/>
  <c r="J988" i="20" s="1"/>
  <c r="V986" i="20"/>
  <c r="V984" i="20" s="1"/>
  <c r="V983" i="20" s="1"/>
  <c r="U986" i="20"/>
  <c r="U984" i="20" s="1"/>
  <c r="U983" i="20" s="1"/>
  <c r="T986" i="20"/>
  <c r="T984" i="20" s="1"/>
  <c r="T983" i="20" s="1"/>
  <c r="S986" i="20"/>
  <c r="S984" i="20" s="1"/>
  <c r="S983" i="20" s="1"/>
  <c r="R986" i="20"/>
  <c r="R984" i="20" s="1"/>
  <c r="R983" i="20" s="1"/>
  <c r="Q986" i="20"/>
  <c r="Q984" i="20" s="1"/>
  <c r="Q983" i="20" s="1"/>
  <c r="P986" i="20"/>
  <c r="P984" i="20" s="1"/>
  <c r="P983" i="20" s="1"/>
  <c r="O986" i="20"/>
  <c r="O984" i="20" s="1"/>
  <c r="O983" i="20" s="1"/>
  <c r="N986" i="20"/>
  <c r="N984" i="20" s="1"/>
  <c r="N983" i="20" s="1"/>
  <c r="M986" i="20"/>
  <c r="M984" i="20" s="1"/>
  <c r="M983" i="20" s="1"/>
  <c r="L986" i="20"/>
  <c r="K986" i="20"/>
  <c r="V977" i="20"/>
  <c r="U977" i="20"/>
  <c r="T977" i="20"/>
  <c r="S977" i="20"/>
  <c r="R977" i="20"/>
  <c r="Q977" i="20"/>
  <c r="P977" i="20"/>
  <c r="O977" i="20"/>
  <c r="N977" i="20"/>
  <c r="M977" i="20"/>
  <c r="L979" i="20"/>
  <c r="L978" i="20" s="1"/>
  <c r="K974" i="20"/>
  <c r="K973" i="20" s="1"/>
  <c r="K972" i="20" s="1"/>
  <c r="R962" i="20"/>
  <c r="R961" i="20" s="1"/>
  <c r="R959" i="20" s="1"/>
  <c r="R958" i="20" s="1"/>
  <c r="N962" i="20"/>
  <c r="N961" i="20" s="1"/>
  <c r="N959" i="20" s="1"/>
  <c r="N958" i="20" s="1"/>
  <c r="R957" i="20"/>
  <c r="R956" i="20" s="1"/>
  <c r="R955" i="20" s="1"/>
  <c r="R954" i="20" s="1"/>
  <c r="N957" i="20"/>
  <c r="N956" i="20" s="1"/>
  <c r="N955" i="20" s="1"/>
  <c r="N954" i="20" s="1"/>
  <c r="M957" i="20"/>
  <c r="M956" i="20" s="1"/>
  <c r="M955" i="20" s="1"/>
  <c r="M954" i="20" s="1"/>
  <c r="R953" i="20"/>
  <c r="R952" i="20" s="1"/>
  <c r="N953" i="20"/>
  <c r="N952" i="20" s="1"/>
  <c r="R951" i="20"/>
  <c r="N951" i="20"/>
  <c r="R950" i="20"/>
  <c r="N950" i="20"/>
  <c r="R949" i="20"/>
  <c r="N949" i="20"/>
  <c r="R880" i="20"/>
  <c r="N880" i="20"/>
  <c r="R879" i="20"/>
  <c r="N879" i="20"/>
  <c r="R878" i="20"/>
  <c r="N878" i="20"/>
  <c r="R885" i="20"/>
  <c r="N885" i="20"/>
  <c r="V881" i="20"/>
  <c r="U881" i="20"/>
  <c r="T881" i="20"/>
  <c r="S881" i="20"/>
  <c r="Q881" i="20"/>
  <c r="P881" i="20"/>
  <c r="O881" i="20"/>
  <c r="M881" i="20"/>
  <c r="L881" i="20"/>
  <c r="K881" i="20"/>
  <c r="V872" i="20"/>
  <c r="V871" i="20" s="1"/>
  <c r="V869" i="20" s="1"/>
  <c r="V868" i="20" s="1"/>
  <c r="V867" i="20" s="1"/>
  <c r="R872" i="20"/>
  <c r="R871" i="20" s="1"/>
  <c r="R869" i="20" s="1"/>
  <c r="R868" i="20" s="1"/>
  <c r="R867" i="20" s="1"/>
  <c r="N872" i="20"/>
  <c r="N871" i="20" s="1"/>
  <c r="N869" i="20" s="1"/>
  <c r="N868" i="20" s="1"/>
  <c r="N867" i="20" s="1"/>
  <c r="R913" i="20"/>
  <c r="N913" i="20"/>
  <c r="M913" i="20"/>
  <c r="R912" i="20"/>
  <c r="N912" i="20"/>
  <c r="M912" i="20"/>
  <c r="R910" i="20"/>
  <c r="R909" i="20" s="1"/>
  <c r="N910" i="20"/>
  <c r="N909" i="20" s="1"/>
  <c r="U892" i="20"/>
  <c r="U890" i="20" s="1"/>
  <c r="U888" i="20" s="1"/>
  <c r="U887" i="20" s="1"/>
  <c r="V890" i="20"/>
  <c r="V888" i="20" s="1"/>
  <c r="V887" i="20" s="1"/>
  <c r="T890" i="20"/>
  <c r="T888" i="20" s="1"/>
  <c r="T887" i="20" s="1"/>
  <c r="S890" i="20"/>
  <c r="S888" i="20" s="1"/>
  <c r="S887" i="20" s="1"/>
  <c r="R890" i="20"/>
  <c r="R888" i="20" s="1"/>
  <c r="R887" i="20" s="1"/>
  <c r="Q890" i="20"/>
  <c r="Q888" i="20" s="1"/>
  <c r="Q887" i="20" s="1"/>
  <c r="P890" i="20"/>
  <c r="P888" i="20" s="1"/>
  <c r="P887" i="20" s="1"/>
  <c r="O890" i="20"/>
  <c r="O888" i="20" s="1"/>
  <c r="O887" i="20" s="1"/>
  <c r="N890" i="20"/>
  <c r="N888" i="20" s="1"/>
  <c r="N887" i="20" s="1"/>
  <c r="M890" i="20"/>
  <c r="M888" i="20" s="1"/>
  <c r="M887" i="20" s="1"/>
  <c r="L890" i="20"/>
  <c r="L888" i="20" s="1"/>
  <c r="L887" i="20" s="1"/>
  <c r="K890" i="20"/>
  <c r="K888" i="20" s="1"/>
  <c r="K887" i="20" s="1"/>
  <c r="R886" i="20"/>
  <c r="N886" i="20"/>
  <c r="L299" i="20"/>
  <c r="L298" i="20" s="1"/>
  <c r="L295" i="20" s="1"/>
  <c r="L294" i="20" s="1"/>
  <c r="L287" i="20" s="1"/>
  <c r="R866" i="20"/>
  <c r="R865" i="20" s="1"/>
  <c r="R863" i="20" s="1"/>
  <c r="R862" i="20" s="1"/>
  <c r="AB863" i="20"/>
  <c r="AB862" i="20" s="1"/>
  <c r="AB581" i="20" s="1"/>
  <c r="R861" i="20"/>
  <c r="R860" i="20"/>
  <c r="V856" i="20"/>
  <c r="U856" i="20"/>
  <c r="T856" i="20"/>
  <c r="S856" i="20"/>
  <c r="Q856" i="20"/>
  <c r="P856" i="20"/>
  <c r="O856" i="20"/>
  <c r="N856" i="20"/>
  <c r="M856" i="20"/>
  <c r="L856" i="20"/>
  <c r="K856" i="20"/>
  <c r="V840" i="20"/>
  <c r="V832" i="20" s="1"/>
  <c r="V830" i="20" s="1"/>
  <c r="V829" i="20" s="1"/>
  <c r="AB820" i="20"/>
  <c r="U762" i="20"/>
  <c r="R762" i="20"/>
  <c r="U761" i="20"/>
  <c r="R761" i="20"/>
  <c r="U760" i="20"/>
  <c r="R750" i="20"/>
  <c r="R748" i="20" s="1"/>
  <c r="R746" i="20" s="1"/>
  <c r="R745" i="20" s="1"/>
  <c r="U749" i="20"/>
  <c r="U748" i="20" s="1"/>
  <c r="U746" i="20" s="1"/>
  <c r="U745" i="20" s="1"/>
  <c r="R739" i="20"/>
  <c r="R738" i="20" s="1"/>
  <c r="R737" i="20" s="1"/>
  <c r="R736" i="20" s="1"/>
  <c r="N739" i="20"/>
  <c r="N738" i="20" s="1"/>
  <c r="N737" i="20" s="1"/>
  <c r="N736" i="20" s="1"/>
  <c r="R734" i="20"/>
  <c r="N734" i="20"/>
  <c r="M734" i="20"/>
  <c r="R733" i="20"/>
  <c r="Q733" i="20"/>
  <c r="M733" i="20"/>
  <c r="AB731" i="20"/>
  <c r="N727" i="20"/>
  <c r="R726" i="20"/>
  <c r="N726" i="20"/>
  <c r="V725" i="20"/>
  <c r="V723" i="20" s="1"/>
  <c r="V722" i="20" s="1"/>
  <c r="T725" i="20"/>
  <c r="T723" i="20" s="1"/>
  <c r="T722" i="20" s="1"/>
  <c r="S725" i="20"/>
  <c r="S723" i="20" s="1"/>
  <c r="S722" i="20" s="1"/>
  <c r="Q725" i="20"/>
  <c r="Q723" i="20" s="1"/>
  <c r="Q722" i="20" s="1"/>
  <c r="P725" i="20"/>
  <c r="P723" i="20" s="1"/>
  <c r="P722" i="20" s="1"/>
  <c r="O725" i="20"/>
  <c r="O723" i="20" s="1"/>
  <c r="O722" i="20" s="1"/>
  <c r="M725" i="20"/>
  <c r="M723" i="20" s="1"/>
  <c r="M722" i="20" s="1"/>
  <c r="L725" i="20"/>
  <c r="L723" i="20" s="1"/>
  <c r="L722" i="20" s="1"/>
  <c r="K725" i="20"/>
  <c r="K723" i="20" s="1"/>
  <c r="K722" i="20" s="1"/>
  <c r="AB724" i="20"/>
  <c r="AB718" i="20"/>
  <c r="U714" i="20"/>
  <c r="R714" i="20" s="1"/>
  <c r="Q714" i="20"/>
  <c r="U713" i="20"/>
  <c r="Q713" i="20"/>
  <c r="U711" i="20"/>
  <c r="Q711" i="20"/>
  <c r="N711" i="20" s="1"/>
  <c r="R710" i="20"/>
  <c r="Q710" i="20"/>
  <c r="AB709" i="20"/>
  <c r="R705" i="20"/>
  <c r="N705" i="20"/>
  <c r="V704" i="20"/>
  <c r="V701" i="20" s="1"/>
  <c r="V699" i="20" s="1"/>
  <c r="V698" i="20" s="1"/>
  <c r="R704" i="20"/>
  <c r="N704" i="20"/>
  <c r="R703" i="20"/>
  <c r="N703" i="20"/>
  <c r="R702" i="20"/>
  <c r="N702" i="20"/>
  <c r="R696" i="20"/>
  <c r="N696" i="20"/>
  <c r="M696" i="20"/>
  <c r="R695" i="20"/>
  <c r="N695" i="20"/>
  <c r="M695" i="20"/>
  <c r="R694" i="20"/>
  <c r="N694" i="20"/>
  <c r="M694" i="20"/>
  <c r="R693" i="20"/>
  <c r="Q693" i="20"/>
  <c r="Q688" i="20" s="1"/>
  <c r="Q686" i="20" s="1"/>
  <c r="Q685" i="20" s="1"/>
  <c r="M693" i="20"/>
  <c r="R692" i="20"/>
  <c r="N692" i="20"/>
  <c r="M692" i="20"/>
  <c r="R691" i="20"/>
  <c r="N691" i="20"/>
  <c r="M691" i="20"/>
  <c r="R690" i="20"/>
  <c r="N690" i="20"/>
  <c r="M690" i="20"/>
  <c r="R689" i="20"/>
  <c r="N689" i="20"/>
  <c r="M689" i="20"/>
  <c r="V683" i="20"/>
  <c r="V679" i="20" s="1"/>
  <c r="V675" i="20" s="1"/>
  <c r="V674" i="20" s="1"/>
  <c r="R683" i="20"/>
  <c r="N683" i="20"/>
  <c r="R680" i="20"/>
  <c r="N680" i="20"/>
  <c r="U672" i="20"/>
  <c r="R672" i="20"/>
  <c r="U671" i="20"/>
  <c r="R671" i="20"/>
  <c r="U664" i="20"/>
  <c r="U663" i="20" s="1"/>
  <c r="U661" i="20" s="1"/>
  <c r="U660" i="20" s="1"/>
  <c r="R664" i="20"/>
  <c r="R663" i="20" s="1"/>
  <c r="R661" i="20" s="1"/>
  <c r="R660" i="20" s="1"/>
  <c r="R658" i="20"/>
  <c r="R657" i="20" s="1"/>
  <c r="R655" i="20" s="1"/>
  <c r="R654" i="20" s="1"/>
  <c r="N658" i="20"/>
  <c r="N657" i="20" s="1"/>
  <c r="N655" i="20" s="1"/>
  <c r="N654" i="20" s="1"/>
  <c r="V657" i="20"/>
  <c r="V655" i="20" s="1"/>
  <c r="V654" i="20" s="1"/>
  <c r="U657" i="20"/>
  <c r="U655" i="20" s="1"/>
  <c r="U654" i="20" s="1"/>
  <c r="T657" i="20"/>
  <c r="T655" i="20" s="1"/>
  <c r="T654" i="20" s="1"/>
  <c r="S657" i="20"/>
  <c r="S655" i="20" s="1"/>
  <c r="S654" i="20" s="1"/>
  <c r="Q657" i="20"/>
  <c r="Q655" i="20" s="1"/>
  <c r="Q654" i="20" s="1"/>
  <c r="P657" i="20"/>
  <c r="P655" i="20" s="1"/>
  <c r="P654" i="20" s="1"/>
  <c r="O657" i="20"/>
  <c r="O655" i="20" s="1"/>
  <c r="O654" i="20" s="1"/>
  <c r="M657" i="20"/>
  <c r="M655" i="20" s="1"/>
  <c r="M654" i="20" s="1"/>
  <c r="L657" i="20"/>
  <c r="L655" i="20" s="1"/>
  <c r="L654" i="20" s="1"/>
  <c r="K657" i="20"/>
  <c r="K655" i="20" s="1"/>
  <c r="K654" i="20" s="1"/>
  <c r="P624" i="20"/>
  <c r="N624" i="20"/>
  <c r="R617" i="20"/>
  <c r="R616" i="20" s="1"/>
  <c r="N617" i="20"/>
  <c r="N616" i="20" s="1"/>
  <c r="N619" i="20"/>
  <c r="R612" i="20"/>
  <c r="U612" i="20" s="1"/>
  <c r="N612" i="20"/>
  <c r="V611" i="20"/>
  <c r="U611" i="20"/>
  <c r="P611" i="20"/>
  <c r="P606" i="20" s="1"/>
  <c r="P604" i="20" s="1"/>
  <c r="P603" i="20" s="1"/>
  <c r="M610" i="20"/>
  <c r="J610" i="20" s="1"/>
  <c r="R609" i="20"/>
  <c r="N609" i="20"/>
  <c r="M609" i="20"/>
  <c r="J609" i="20" s="1"/>
  <c r="R608" i="20"/>
  <c r="N608" i="20"/>
  <c r="M608" i="20"/>
  <c r="J608" i="20" s="1"/>
  <c r="V607" i="20"/>
  <c r="R607" i="20"/>
  <c r="N607" i="20"/>
  <c r="M607" i="20"/>
  <c r="J607" i="20" s="1"/>
  <c r="R601" i="20"/>
  <c r="U600" i="20"/>
  <c r="R600" i="20" s="1"/>
  <c r="R599" i="20"/>
  <c r="R598" i="20"/>
  <c r="U597" i="20"/>
  <c r="T597" i="20"/>
  <c r="T596" i="20" s="1"/>
  <c r="T592" i="20" s="1"/>
  <c r="T591" i="20" s="1"/>
  <c r="Q597" i="20"/>
  <c r="Q596" i="20" s="1"/>
  <c r="Q592" i="20" s="1"/>
  <c r="Q591" i="20" s="1"/>
  <c r="R594" i="20"/>
  <c r="R593" i="20" s="1"/>
  <c r="V589" i="20"/>
  <c r="V585" i="20" s="1"/>
  <c r="V583" i="20" s="1"/>
  <c r="V582" i="20" s="1"/>
  <c r="R587" i="20"/>
  <c r="R586" i="20"/>
  <c r="N586" i="20"/>
  <c r="N585" i="20" s="1"/>
  <c r="N583" i="20" s="1"/>
  <c r="N582" i="20" s="1"/>
  <c r="AB583" i="20"/>
  <c r="AB566" i="20"/>
  <c r="U522" i="20"/>
  <c r="U515" i="20" s="1"/>
  <c r="R522" i="20"/>
  <c r="R515" i="20" s="1"/>
  <c r="Q522" i="20"/>
  <c r="Q515" i="20" s="1"/>
  <c r="Q503" i="20" s="1"/>
  <c r="Q502" i="20" s="1"/>
  <c r="N522" i="20"/>
  <c r="N515" i="20" s="1"/>
  <c r="R513" i="20"/>
  <c r="N513" i="20"/>
  <c r="U512" i="20"/>
  <c r="R511" i="20"/>
  <c r="N511" i="20"/>
  <c r="R510" i="20"/>
  <c r="N510" i="20"/>
  <c r="R509" i="20"/>
  <c r="N509" i="20"/>
  <c r="V500" i="20"/>
  <c r="V499" i="20" s="1"/>
  <c r="V498" i="20" s="1"/>
  <c r="V496" i="20" s="1"/>
  <c r="V495" i="20" s="1"/>
  <c r="U500" i="20"/>
  <c r="AB495" i="20"/>
  <c r="U442" i="20"/>
  <c r="U441" i="20" s="1"/>
  <c r="U440" i="20" s="1"/>
  <c r="U438" i="20" s="1"/>
  <c r="U437" i="20" s="1"/>
  <c r="R442" i="20"/>
  <c r="R441" i="20" s="1"/>
  <c r="R440" i="20" s="1"/>
  <c r="R438" i="20" s="1"/>
  <c r="R437" i="20" s="1"/>
  <c r="U422" i="20"/>
  <c r="U421" i="20"/>
  <c r="U414" i="20"/>
  <c r="U413" i="20" s="1"/>
  <c r="U412" i="20" s="1"/>
  <c r="U410" i="20" s="1"/>
  <c r="U409" i="20" s="1"/>
  <c r="AB410" i="20"/>
  <c r="V407" i="20"/>
  <c r="V404" i="20" s="1"/>
  <c r="V403" i="20" s="1"/>
  <c r="V401" i="20" s="1"/>
  <c r="V400" i="20" s="1"/>
  <c r="U406" i="20"/>
  <c r="Q406" i="20"/>
  <c r="N406" i="20"/>
  <c r="U405" i="20"/>
  <c r="Q405" i="20"/>
  <c r="N405" i="20"/>
  <c r="U398" i="20"/>
  <c r="U397" i="20"/>
  <c r="U381" i="20"/>
  <c r="N381" i="20"/>
  <c r="N380" i="20" s="1"/>
  <c r="N378" i="20" s="1"/>
  <c r="N377" i="20" s="1"/>
  <c r="R375" i="20"/>
  <c r="R374" i="20" s="1"/>
  <c r="R372" i="20" s="1"/>
  <c r="R371" i="20" s="1"/>
  <c r="N375" i="20"/>
  <c r="N374" i="20" s="1"/>
  <c r="N372" i="20" s="1"/>
  <c r="N371" i="20" s="1"/>
  <c r="U369" i="20"/>
  <c r="N369" i="20"/>
  <c r="N368" i="20" s="1"/>
  <c r="N366" i="20" s="1"/>
  <c r="N365" i="20" s="1"/>
  <c r="R363" i="20"/>
  <c r="R362" i="20" s="1"/>
  <c r="R360" i="20" s="1"/>
  <c r="R359" i="20" s="1"/>
  <c r="N363" i="20"/>
  <c r="N362" i="20" s="1"/>
  <c r="N360" i="20" s="1"/>
  <c r="N359" i="20" s="1"/>
  <c r="AB354" i="20"/>
  <c r="U351" i="20"/>
  <c r="U350" i="20" s="1"/>
  <c r="U348" i="20" s="1"/>
  <c r="U347" i="20" s="1"/>
  <c r="R351" i="20"/>
  <c r="R350" i="20" s="1"/>
  <c r="R348" i="20" s="1"/>
  <c r="R347" i="20" s="1"/>
  <c r="R345" i="20"/>
  <c r="N345" i="20"/>
  <c r="M345" i="20"/>
  <c r="M343" i="20" s="1"/>
  <c r="M341" i="20" s="1"/>
  <c r="M340" i="20" s="1"/>
  <c r="R344" i="20"/>
  <c r="L337" i="20"/>
  <c r="K336" i="20"/>
  <c r="L336" i="20" s="1"/>
  <c r="U335" i="20"/>
  <c r="U334" i="20" s="1"/>
  <c r="U331" i="20" s="1"/>
  <c r="U330" i="20" s="1"/>
  <c r="T335" i="20"/>
  <c r="T334" i="20" s="1"/>
  <c r="T331" i="20" s="1"/>
  <c r="T330" i="20" s="1"/>
  <c r="R335" i="20"/>
  <c r="R334" i="20" s="1"/>
  <c r="R331" i="20" s="1"/>
  <c r="R330" i="20" s="1"/>
  <c r="Q335" i="20"/>
  <c r="Q334" i="20" s="1"/>
  <c r="Q331" i="20" s="1"/>
  <c r="Q330" i="20" s="1"/>
  <c r="P335" i="20"/>
  <c r="P334" i="20" s="1"/>
  <c r="P331" i="20" s="1"/>
  <c r="P330" i="20" s="1"/>
  <c r="O335" i="20"/>
  <c r="O334" i="20" s="1"/>
  <c r="O331" i="20" s="1"/>
  <c r="O330" i="20" s="1"/>
  <c r="N335" i="20"/>
  <c r="N334" i="20" s="1"/>
  <c r="N331" i="20" s="1"/>
  <c r="N330" i="20" s="1"/>
  <c r="M335" i="20"/>
  <c r="M334" i="20" s="1"/>
  <c r="M331" i="20" s="1"/>
  <c r="M330" i="20" s="1"/>
  <c r="R327" i="20"/>
  <c r="R326" i="20" s="1"/>
  <c r="R324" i="20" s="1"/>
  <c r="R323" i="20" s="1"/>
  <c r="N327" i="20"/>
  <c r="N326" i="20" s="1"/>
  <c r="N324" i="20" s="1"/>
  <c r="N323" i="20" s="1"/>
  <c r="R321" i="20"/>
  <c r="N321" i="20"/>
  <c r="R320" i="20"/>
  <c r="N320" i="20"/>
  <c r="M320" i="20"/>
  <c r="L320" i="20"/>
  <c r="K320" i="20"/>
  <c r="K317" i="20" s="1"/>
  <c r="K315" i="20" s="1"/>
  <c r="K314" i="20" s="1"/>
  <c r="V319" i="20"/>
  <c r="V317" i="20" s="1"/>
  <c r="V315" i="20" s="1"/>
  <c r="V314" i="20" s="1"/>
  <c r="R319" i="20"/>
  <c r="N319" i="20"/>
  <c r="L319" i="20"/>
  <c r="J319" i="20" s="1"/>
  <c r="R318" i="20"/>
  <c r="N318" i="20"/>
  <c r="M318" i="20"/>
  <c r="J318" i="20" s="1"/>
  <c r="R311" i="20"/>
  <c r="R310" i="20" s="1"/>
  <c r="R308" i="20" s="1"/>
  <c r="R307" i="20" s="1"/>
  <c r="N311" i="20"/>
  <c r="N310" i="20" s="1"/>
  <c r="N308" i="20" s="1"/>
  <c r="N307" i="20" s="1"/>
  <c r="U292" i="20"/>
  <c r="U291" i="20" s="1"/>
  <c r="U289" i="20" s="1"/>
  <c r="U288" i="20" s="1"/>
  <c r="U287" i="20" s="1"/>
  <c r="Q292" i="20"/>
  <c r="R248" i="20"/>
  <c r="R247" i="20" s="1"/>
  <c r="R245" i="20" s="1"/>
  <c r="R244" i="20" s="1"/>
  <c r="M248" i="20"/>
  <c r="M247" i="20" s="1"/>
  <c r="M245" i="20" s="1"/>
  <c r="M244" i="20" s="1"/>
  <c r="M209" i="20" s="1"/>
  <c r="V241" i="20"/>
  <c r="V240" i="20" s="1"/>
  <c r="V229" i="20" s="1"/>
  <c r="V228" i="20" s="1"/>
  <c r="V209" i="20" s="1"/>
  <c r="R241" i="20"/>
  <c r="R240" i="20" s="1"/>
  <c r="N241" i="20"/>
  <c r="N240" i="20" s="1"/>
  <c r="R239" i="20"/>
  <c r="N239" i="20"/>
  <c r="R238" i="20"/>
  <c r="N238" i="20"/>
  <c r="R237" i="20"/>
  <c r="N237" i="20"/>
  <c r="R236" i="20"/>
  <c r="N236" i="20"/>
  <c r="R235" i="20"/>
  <c r="N235" i="20"/>
  <c r="R234" i="20"/>
  <c r="N234" i="20"/>
  <c r="R233" i="20"/>
  <c r="N233" i="20"/>
  <c r="R232" i="20"/>
  <c r="N232" i="20"/>
  <c r="R231" i="20"/>
  <c r="N231" i="20"/>
  <c r="R220" i="20"/>
  <c r="R219" i="20" s="1"/>
  <c r="R217" i="20" s="1"/>
  <c r="R216" i="20" s="1"/>
  <c r="N220" i="20"/>
  <c r="N219" i="20" s="1"/>
  <c r="N217" i="20" s="1"/>
  <c r="N216" i="20" s="1"/>
  <c r="R214" i="20"/>
  <c r="R213" i="20" s="1"/>
  <c r="R211" i="20" s="1"/>
  <c r="R210" i="20" s="1"/>
  <c r="N214" i="20"/>
  <c r="N213" i="20" s="1"/>
  <c r="N211" i="20" s="1"/>
  <c r="N210" i="20" s="1"/>
  <c r="R196" i="20"/>
  <c r="N196" i="20"/>
  <c r="R195" i="20"/>
  <c r="N195" i="20"/>
  <c r="R194" i="20"/>
  <c r="N194" i="20"/>
  <c r="R192" i="20"/>
  <c r="N192" i="20"/>
  <c r="R191" i="20"/>
  <c r="N191" i="20"/>
  <c r="R190" i="20"/>
  <c r="N190" i="20"/>
  <c r="U171" i="20"/>
  <c r="R171" i="20" s="1"/>
  <c r="Q171" i="20"/>
  <c r="N171" i="20" s="1"/>
  <c r="U170" i="20"/>
  <c r="Q170" i="20"/>
  <c r="AB169" i="20"/>
  <c r="L157" i="20"/>
  <c r="J157" i="20" s="1"/>
  <c r="J156" i="20" s="1"/>
  <c r="J154" i="20" s="1"/>
  <c r="J153" i="20" s="1"/>
  <c r="J152" i="20" s="1"/>
  <c r="V144" i="20"/>
  <c r="V143" i="20" s="1"/>
  <c r="V139" i="20" s="1"/>
  <c r="V138" i="20" s="1"/>
  <c r="V13" i="20" s="1"/>
  <c r="AB71" i="20"/>
  <c r="AB66" i="20"/>
  <c r="AB59" i="20"/>
  <c r="R56" i="20"/>
  <c r="N56" i="20"/>
  <c r="R55" i="20"/>
  <c r="N55" i="20"/>
  <c r="U48" i="20"/>
  <c r="R48" i="20" s="1"/>
  <c r="Q48" i="20"/>
  <c r="N48" i="20" s="1"/>
  <c r="U47" i="20"/>
  <c r="R47" i="20" s="1"/>
  <c r="Q47" i="20"/>
  <c r="N47" i="20" s="1"/>
  <c r="U46" i="20"/>
  <c r="Q46" i="20"/>
  <c r="U41" i="20"/>
  <c r="R41" i="20" s="1"/>
  <c r="N41" i="20"/>
  <c r="M41" i="20"/>
  <c r="U40" i="20"/>
  <c r="N40" i="20"/>
  <c r="M40" i="20"/>
  <c r="R39" i="20"/>
  <c r="N39" i="20"/>
  <c r="M39" i="20"/>
  <c r="R38" i="20"/>
  <c r="N38" i="20"/>
  <c r="M38" i="20"/>
  <c r="R36" i="20"/>
  <c r="N36" i="20"/>
  <c r="M36" i="20"/>
  <c r="R35" i="20"/>
  <c r="N35" i="20"/>
  <c r="M35" i="20"/>
  <c r="R34" i="20"/>
  <c r="Q34" i="20" s="1"/>
  <c r="Q28" i="20" s="1"/>
  <c r="Q27" i="20" s="1"/>
  <c r="Q26" i="20" s="1"/>
  <c r="M34" i="20"/>
  <c r="U33" i="20"/>
  <c r="N33" i="20"/>
  <c r="M33" i="20"/>
  <c r="R32" i="20"/>
  <c r="N32" i="20"/>
  <c r="M32" i="20"/>
  <c r="AB28" i="20"/>
  <c r="AB26" i="20"/>
  <c r="R24" i="20"/>
  <c r="N24" i="20"/>
  <c r="R23" i="20"/>
  <c r="N23" i="20"/>
  <c r="R22" i="20"/>
  <c r="N22" i="20"/>
  <c r="R21" i="20"/>
  <c r="N21" i="20"/>
  <c r="R20" i="20"/>
  <c r="N20" i="20"/>
  <c r="R19" i="20"/>
  <c r="N19" i="20"/>
  <c r="AB15" i="20"/>
  <c r="W12" i="18"/>
  <c r="W11" i="18" s="1"/>
  <c r="S35" i="18"/>
  <c r="N623" i="20" l="1"/>
  <c r="N622" i="20" s="1"/>
  <c r="N621" i="20" s="1"/>
  <c r="P623" i="20"/>
  <c r="P622" i="20" s="1"/>
  <c r="P621" i="20" s="1"/>
  <c r="P581" i="20" s="1"/>
  <c r="S873" i="20"/>
  <c r="T873" i="20"/>
  <c r="U873" i="20"/>
  <c r="V873" i="20"/>
  <c r="K873" i="20"/>
  <c r="L873" i="20"/>
  <c r="O873" i="20"/>
  <c r="P873" i="20"/>
  <c r="Q873" i="20"/>
  <c r="R982" i="20"/>
  <c r="Q982" i="20"/>
  <c r="K581" i="20"/>
  <c r="P982" i="20"/>
  <c r="W94" i="20"/>
  <c r="W13" i="20" s="1"/>
  <c r="AC95" i="20"/>
  <c r="J982" i="20"/>
  <c r="M982" i="20"/>
  <c r="O982" i="20"/>
  <c r="S982" i="20"/>
  <c r="N982" i="20"/>
  <c r="T982" i="20"/>
  <c r="V982" i="20"/>
  <c r="U982" i="20"/>
  <c r="U670" i="20"/>
  <c r="U668" i="20" s="1"/>
  <c r="U667" i="20" s="1"/>
  <c r="N618" i="20"/>
  <c r="N615" i="20" s="1"/>
  <c r="N614" i="20" s="1"/>
  <c r="R911" i="20"/>
  <c r="R908" i="20" s="1"/>
  <c r="R907" i="20" s="1"/>
  <c r="R757" i="20"/>
  <c r="R755" i="20" s="1"/>
  <c r="R754" i="20" s="1"/>
  <c r="J317" i="20"/>
  <c r="J315" i="20" s="1"/>
  <c r="J314" i="20" s="1"/>
  <c r="J306" i="20" s="1"/>
  <c r="U712" i="20"/>
  <c r="J606" i="20"/>
  <c r="J604" i="20" s="1"/>
  <c r="J603" i="20" s="1"/>
  <c r="J581" i="20" s="1"/>
  <c r="U404" i="20"/>
  <c r="U403" i="20" s="1"/>
  <c r="U401" i="20" s="1"/>
  <c r="U400" i="20" s="1"/>
  <c r="S581" i="20"/>
  <c r="R732" i="20"/>
  <c r="R730" i="20" s="1"/>
  <c r="R729" i="20" s="1"/>
  <c r="M317" i="20"/>
  <c r="M315" i="20" s="1"/>
  <c r="M314" i="20" s="1"/>
  <c r="R948" i="20"/>
  <c r="R947" i="20" s="1"/>
  <c r="R946" i="20" s="1"/>
  <c r="R945" i="20" s="1"/>
  <c r="M28" i="20"/>
  <c r="U606" i="20"/>
  <c r="U604" i="20" s="1"/>
  <c r="U603" i="20" s="1"/>
  <c r="R585" i="20"/>
  <c r="R583" i="20" s="1"/>
  <c r="R582" i="20" s="1"/>
  <c r="N679" i="20"/>
  <c r="N675" i="20" s="1"/>
  <c r="N674" i="20" s="1"/>
  <c r="M732" i="20"/>
  <c r="M730" i="20" s="1"/>
  <c r="M729" i="20" s="1"/>
  <c r="N911" i="20"/>
  <c r="N908" i="20" s="1"/>
  <c r="N907" i="20" s="1"/>
  <c r="R877" i="20"/>
  <c r="R875" i="20" s="1"/>
  <c r="R874" i="20" s="1"/>
  <c r="N948" i="20"/>
  <c r="N947" i="20" s="1"/>
  <c r="N946" i="20" s="1"/>
  <c r="N945" i="20" s="1"/>
  <c r="R54" i="20"/>
  <c r="R52" i="20" s="1"/>
  <c r="R51" i="20" s="1"/>
  <c r="M606" i="20"/>
  <c r="M604" i="20" s="1"/>
  <c r="M603" i="20" s="1"/>
  <c r="R679" i="20"/>
  <c r="R675" i="20" s="1"/>
  <c r="R674" i="20" s="1"/>
  <c r="U757" i="20"/>
  <c r="U755" i="20" s="1"/>
  <c r="U754" i="20" s="1"/>
  <c r="R193" i="20"/>
  <c r="U596" i="20"/>
  <c r="U592" i="20" s="1"/>
  <c r="U591" i="20" s="1"/>
  <c r="R343" i="20"/>
  <c r="R341" i="20" s="1"/>
  <c r="R340" i="20" s="1"/>
  <c r="R884" i="20"/>
  <c r="R882" i="20" s="1"/>
  <c r="R881" i="20" s="1"/>
  <c r="N18" i="20"/>
  <c r="N15" i="20" s="1"/>
  <c r="N14" i="20" s="1"/>
  <c r="U420" i="20"/>
  <c r="U419" i="20" s="1"/>
  <c r="U417" i="20" s="1"/>
  <c r="U416" i="20" s="1"/>
  <c r="U37" i="20"/>
  <c r="N54" i="20"/>
  <c r="N52" i="20" s="1"/>
  <c r="N51" i="20" s="1"/>
  <c r="Q169" i="20"/>
  <c r="Q168" i="20" s="1"/>
  <c r="Q167" i="20" s="1"/>
  <c r="Q166" i="20" s="1"/>
  <c r="Q404" i="20"/>
  <c r="Q403" i="20" s="1"/>
  <c r="Q401" i="20" s="1"/>
  <c r="Q400" i="20" s="1"/>
  <c r="M911" i="20"/>
  <c r="M908" i="20" s="1"/>
  <c r="M907" i="20" s="1"/>
  <c r="M873" i="20" s="1"/>
  <c r="N877" i="20"/>
  <c r="N875" i="20" s="1"/>
  <c r="N874" i="20" s="1"/>
  <c r="L985" i="20"/>
  <c r="L984" i="20" s="1"/>
  <c r="L983" i="20" s="1"/>
  <c r="L982" i="20" s="1"/>
  <c r="N713" i="20"/>
  <c r="Q712" i="20"/>
  <c r="N733" i="20"/>
  <c r="N732" i="20" s="1"/>
  <c r="N730" i="20" s="1"/>
  <c r="N729" i="20" s="1"/>
  <c r="Q732" i="20"/>
  <c r="Q730" i="20" s="1"/>
  <c r="Q729" i="20" s="1"/>
  <c r="R170" i="20"/>
  <c r="R169" i="20" s="1"/>
  <c r="R168" i="20" s="1"/>
  <c r="R167" i="20" s="1"/>
  <c r="R166" i="20" s="1"/>
  <c r="U169" i="20"/>
  <c r="U168" i="20" s="1"/>
  <c r="U167" i="20" s="1"/>
  <c r="U166" i="20" s="1"/>
  <c r="R606" i="20"/>
  <c r="R604" i="20" s="1"/>
  <c r="R603" i="20" s="1"/>
  <c r="L581" i="20"/>
  <c r="M37" i="20"/>
  <c r="N193" i="20"/>
  <c r="N37" i="20"/>
  <c r="N317" i="20"/>
  <c r="N315" i="20" s="1"/>
  <c r="N314" i="20" s="1"/>
  <c r="R381" i="20"/>
  <c r="R380" i="20" s="1"/>
  <c r="R378" i="20" s="1"/>
  <c r="R377" i="20" s="1"/>
  <c r="U380" i="20"/>
  <c r="U378" i="20" s="1"/>
  <c r="U377" i="20" s="1"/>
  <c r="V606" i="20"/>
  <c r="V604" i="20" s="1"/>
  <c r="V603" i="20" s="1"/>
  <c r="V581" i="20" s="1"/>
  <c r="N46" i="20"/>
  <c r="N45" i="20" s="1"/>
  <c r="N44" i="20" s="1"/>
  <c r="N43" i="20" s="1"/>
  <c r="Q45" i="20"/>
  <c r="Q44" i="20" s="1"/>
  <c r="Q43" i="20" s="1"/>
  <c r="Q13" i="20" s="1"/>
  <c r="R33" i="20"/>
  <c r="R28" i="20" s="1"/>
  <c r="U28" i="20"/>
  <c r="R46" i="20"/>
  <c r="R45" i="20" s="1"/>
  <c r="R44" i="20" s="1"/>
  <c r="R43" i="20" s="1"/>
  <c r="U45" i="20"/>
  <c r="U44" i="20" s="1"/>
  <c r="U43" i="20" s="1"/>
  <c r="R317" i="20"/>
  <c r="R315" i="20" s="1"/>
  <c r="R314" i="20" s="1"/>
  <c r="R500" i="20"/>
  <c r="R499" i="20" s="1"/>
  <c r="R498" i="20" s="1"/>
  <c r="R496" i="20" s="1"/>
  <c r="R495" i="20" s="1"/>
  <c r="U499" i="20"/>
  <c r="U498" i="20" s="1"/>
  <c r="U496" i="20" s="1"/>
  <c r="U495" i="20" s="1"/>
  <c r="R512" i="20"/>
  <c r="R504" i="20" s="1"/>
  <c r="R503" i="20" s="1"/>
  <c r="R502" i="20" s="1"/>
  <c r="U504" i="20"/>
  <c r="U503" i="20" s="1"/>
  <c r="U502" i="20" s="1"/>
  <c r="T581" i="20"/>
  <c r="O581" i="20"/>
  <c r="N189" i="20"/>
  <c r="L317" i="20"/>
  <c r="L315" i="20" s="1"/>
  <c r="L314" i="20" s="1"/>
  <c r="M688" i="20"/>
  <c r="M686" i="20" s="1"/>
  <c r="M685" i="20" s="1"/>
  <c r="Q709" i="20"/>
  <c r="L156" i="20"/>
  <c r="L154" i="20" s="1"/>
  <c r="L153" i="20" s="1"/>
  <c r="L152" i="20" s="1"/>
  <c r="R189" i="20"/>
  <c r="N230" i="20"/>
  <c r="N229" i="20" s="1"/>
  <c r="N228" i="20" s="1"/>
  <c r="N209" i="20" s="1"/>
  <c r="U396" i="20"/>
  <c r="U395" i="20" s="1"/>
  <c r="U393" i="20" s="1"/>
  <c r="U392" i="20" s="1"/>
  <c r="R670" i="20"/>
  <c r="R668" i="20" s="1"/>
  <c r="R667" i="20" s="1"/>
  <c r="N701" i="20"/>
  <c r="N699" i="20" s="1"/>
  <c r="N698" i="20" s="1"/>
  <c r="R859" i="20"/>
  <c r="R857" i="20" s="1"/>
  <c r="R856" i="20" s="1"/>
  <c r="R230" i="20"/>
  <c r="R229" i="20" s="1"/>
  <c r="R228" i="20" s="1"/>
  <c r="R209" i="20" s="1"/>
  <c r="N504" i="20"/>
  <c r="N503" i="20" s="1"/>
  <c r="N502" i="20" s="1"/>
  <c r="R688" i="20"/>
  <c r="R686" i="20" s="1"/>
  <c r="R685" i="20" s="1"/>
  <c r="R701" i="20"/>
  <c r="R699" i="20" s="1"/>
  <c r="R698" i="20" s="1"/>
  <c r="N884" i="20"/>
  <c r="N882" i="20" s="1"/>
  <c r="N881" i="20" s="1"/>
  <c r="R18" i="20"/>
  <c r="R15" i="20" s="1"/>
  <c r="R14" i="20" s="1"/>
  <c r="N292" i="20"/>
  <c r="N291" i="20" s="1"/>
  <c r="N289" i="20" s="1"/>
  <c r="N288" i="20" s="1"/>
  <c r="N287" i="20" s="1"/>
  <c r="Q291" i="20"/>
  <c r="Q289" i="20" s="1"/>
  <c r="Q288" i="20" s="1"/>
  <c r="Q287" i="20" s="1"/>
  <c r="R369" i="20"/>
  <c r="R368" i="20" s="1"/>
  <c r="R366" i="20" s="1"/>
  <c r="R365" i="20" s="1"/>
  <c r="U368" i="20"/>
  <c r="U366" i="20" s="1"/>
  <c r="U365" i="20" s="1"/>
  <c r="N404" i="20"/>
  <c r="N403" i="20" s="1"/>
  <c r="N401" i="20" s="1"/>
  <c r="N400" i="20" s="1"/>
  <c r="R711" i="20"/>
  <c r="R709" i="20" s="1"/>
  <c r="U709" i="20"/>
  <c r="W12" i="19"/>
  <c r="W11" i="19" s="1"/>
  <c r="N611" i="20"/>
  <c r="N606" i="20" s="1"/>
  <c r="N604" i="20" s="1"/>
  <c r="N603" i="20" s="1"/>
  <c r="N449" i="20"/>
  <c r="N447" i="20" s="1"/>
  <c r="N446" i="20" s="1"/>
  <c r="R449" i="20"/>
  <c r="R447" i="20" s="1"/>
  <c r="R446" i="20" s="1"/>
  <c r="N466" i="20"/>
  <c r="T945" i="20"/>
  <c r="L335" i="20"/>
  <c r="L334" i="20" s="1"/>
  <c r="L331" i="20" s="1"/>
  <c r="L330" i="20" s="1"/>
  <c r="P945" i="20"/>
  <c r="R466" i="20"/>
  <c r="V466" i="20"/>
  <c r="T466" i="20"/>
  <c r="M449" i="20"/>
  <c r="M447" i="20" s="1"/>
  <c r="M446" i="20" s="1"/>
  <c r="R725" i="20"/>
  <c r="R723" i="20" s="1"/>
  <c r="R722" i="20" s="1"/>
  <c r="L449" i="20"/>
  <c r="L447" i="20" s="1"/>
  <c r="L446" i="20" s="1"/>
  <c r="P449" i="20"/>
  <c r="P447" i="20" s="1"/>
  <c r="P446" i="20" s="1"/>
  <c r="T449" i="20"/>
  <c r="T447" i="20" s="1"/>
  <c r="T446" i="20" s="1"/>
  <c r="U725" i="20"/>
  <c r="U723" i="20" s="1"/>
  <c r="U722" i="20" s="1"/>
  <c r="K335" i="20"/>
  <c r="K334" i="20" s="1"/>
  <c r="K331" i="20" s="1"/>
  <c r="K330" i="20" s="1"/>
  <c r="V449" i="20"/>
  <c r="V447" i="20" s="1"/>
  <c r="V446" i="20" s="1"/>
  <c r="L466" i="20"/>
  <c r="P466" i="20"/>
  <c r="V945" i="20"/>
  <c r="R619" i="20"/>
  <c r="R618" i="20" s="1"/>
  <c r="R615" i="20" s="1"/>
  <c r="R614" i="20" s="1"/>
  <c r="U449" i="20"/>
  <c r="U447" i="20" s="1"/>
  <c r="U446" i="20" s="1"/>
  <c r="O466" i="20"/>
  <c r="M945" i="20"/>
  <c r="Q449" i="20"/>
  <c r="Q447" i="20" s="1"/>
  <c r="Q446" i="20" s="1"/>
  <c r="K466" i="20"/>
  <c r="S466" i="20"/>
  <c r="R40" i="20"/>
  <c r="R37" i="20" s="1"/>
  <c r="R597" i="20"/>
  <c r="R596" i="20" s="1"/>
  <c r="R592" i="20" s="1"/>
  <c r="R591" i="20" s="1"/>
  <c r="O945" i="20"/>
  <c r="L977" i="20"/>
  <c r="S945" i="20"/>
  <c r="U945" i="20"/>
  <c r="N170" i="20"/>
  <c r="N169" i="20" s="1"/>
  <c r="N168" i="20" s="1"/>
  <c r="N167" i="20" s="1"/>
  <c r="N166" i="20" s="1"/>
  <c r="R292" i="20"/>
  <c r="R291" i="20" s="1"/>
  <c r="R289" i="20" s="1"/>
  <c r="R288" i="20" s="1"/>
  <c r="R287" i="20" s="1"/>
  <c r="N597" i="20"/>
  <c r="N596" i="20" s="1"/>
  <c r="N592" i="20" s="1"/>
  <c r="N591" i="20" s="1"/>
  <c r="N693" i="20"/>
  <c r="N688" i="20" s="1"/>
  <c r="N686" i="20" s="1"/>
  <c r="N685" i="20" s="1"/>
  <c r="K449" i="20"/>
  <c r="K447" i="20" s="1"/>
  <c r="K446" i="20" s="1"/>
  <c r="O449" i="20"/>
  <c r="O447" i="20" s="1"/>
  <c r="O446" i="20" s="1"/>
  <c r="S449" i="20"/>
  <c r="S447" i="20" s="1"/>
  <c r="S446" i="20" s="1"/>
  <c r="M466" i="20"/>
  <c r="Q466" i="20"/>
  <c r="U466" i="20"/>
  <c r="K985" i="20"/>
  <c r="K984" i="20" s="1"/>
  <c r="K983" i="20" s="1"/>
  <c r="K982" i="20" s="1"/>
  <c r="N725" i="20"/>
  <c r="N723" i="20" s="1"/>
  <c r="N722" i="20" s="1"/>
  <c r="Q945" i="20"/>
  <c r="N34" i="20"/>
  <c r="N28" i="20" s="1"/>
  <c r="N344" i="20"/>
  <c r="N343" i="20" s="1"/>
  <c r="N341" i="20" s="1"/>
  <c r="N340" i="20" s="1"/>
  <c r="N710" i="20"/>
  <c r="N709" i="20" s="1"/>
  <c r="N714" i="20"/>
  <c r="R713" i="20"/>
  <c r="R712" i="20" s="1"/>
  <c r="L974" i="20"/>
  <c r="L973" i="20" s="1"/>
  <c r="L972" i="20" s="1"/>
  <c r="K979" i="20"/>
  <c r="K23" i="18"/>
  <c r="K21" i="18" s="1"/>
  <c r="K20" i="18" s="1"/>
  <c r="L23" i="18"/>
  <c r="L21" i="18" s="1"/>
  <c r="L20" i="18" s="1"/>
  <c r="M23" i="18"/>
  <c r="M21" i="18" s="1"/>
  <c r="M20" i="18" s="1"/>
  <c r="O23" i="18"/>
  <c r="O21" i="18" s="1"/>
  <c r="O20" i="18" s="1"/>
  <c r="P23" i="18"/>
  <c r="P21" i="18" s="1"/>
  <c r="P20" i="18" s="1"/>
  <c r="Q23" i="18"/>
  <c r="Q21" i="18" s="1"/>
  <c r="Q20" i="18" s="1"/>
  <c r="S23" i="18"/>
  <c r="S21" i="18" s="1"/>
  <c r="S20" i="18" s="1"/>
  <c r="T23" i="18"/>
  <c r="T21" i="18" s="1"/>
  <c r="T20" i="18" s="1"/>
  <c r="U23" i="18"/>
  <c r="U21" i="18" s="1"/>
  <c r="U20" i="18" s="1"/>
  <c r="V20" i="18"/>
  <c r="J23" i="18"/>
  <c r="K17" i="18"/>
  <c r="K15" i="18" s="1"/>
  <c r="K14" i="18" s="1"/>
  <c r="L17" i="18"/>
  <c r="L15" i="18" s="1"/>
  <c r="L14" i="18" s="1"/>
  <c r="M17" i="18"/>
  <c r="M15" i="18" s="1"/>
  <c r="M14" i="18" s="1"/>
  <c r="N17" i="18"/>
  <c r="N15" i="18" s="1"/>
  <c r="N14" i="18" s="1"/>
  <c r="O17" i="18"/>
  <c r="O15" i="18" s="1"/>
  <c r="O14" i="18" s="1"/>
  <c r="P17" i="18"/>
  <c r="P15" i="18" s="1"/>
  <c r="P14" i="18" s="1"/>
  <c r="Q17" i="18"/>
  <c r="Q15" i="18" s="1"/>
  <c r="Q14" i="18" s="1"/>
  <c r="T17" i="18"/>
  <c r="T15" i="18" s="1"/>
  <c r="T14" i="18" s="1"/>
  <c r="U17" i="18"/>
  <c r="U15" i="18" s="1"/>
  <c r="U14" i="18" s="1"/>
  <c r="J17" i="18"/>
  <c r="J15" i="18" s="1"/>
  <c r="J14" i="18" s="1"/>
  <c r="R93" i="19"/>
  <c r="R92" i="19" s="1"/>
  <c r="R90" i="19" s="1"/>
  <c r="R89" i="19" s="1"/>
  <c r="R88" i="19" s="1"/>
  <c r="N93" i="19"/>
  <c r="N92" i="19" s="1"/>
  <c r="N90" i="19" s="1"/>
  <c r="N89" i="19" s="1"/>
  <c r="N88" i="19" s="1"/>
  <c r="U92" i="19"/>
  <c r="U90" i="19" s="1"/>
  <c r="U89" i="19" s="1"/>
  <c r="U88" i="19" s="1"/>
  <c r="T92" i="19"/>
  <c r="T90" i="19" s="1"/>
  <c r="T89" i="19" s="1"/>
  <c r="T88" i="19" s="1"/>
  <c r="S92" i="19"/>
  <c r="S90" i="19" s="1"/>
  <c r="S89" i="19" s="1"/>
  <c r="S88" i="19" s="1"/>
  <c r="Q92" i="19"/>
  <c r="Q90" i="19" s="1"/>
  <c r="Q89" i="19" s="1"/>
  <c r="Q88" i="19" s="1"/>
  <c r="P92" i="19"/>
  <c r="P90" i="19" s="1"/>
  <c r="P89" i="19" s="1"/>
  <c r="P88" i="19" s="1"/>
  <c r="O92" i="19"/>
  <c r="O90" i="19" s="1"/>
  <c r="O89" i="19" s="1"/>
  <c r="O88" i="19" s="1"/>
  <c r="M92" i="19"/>
  <c r="M90" i="19" s="1"/>
  <c r="M89" i="19" s="1"/>
  <c r="M88" i="19" s="1"/>
  <c r="L92" i="19"/>
  <c r="L90" i="19" s="1"/>
  <c r="L89" i="19" s="1"/>
  <c r="L88" i="19" s="1"/>
  <c r="K92" i="19"/>
  <c r="K90" i="19" s="1"/>
  <c r="K89" i="19" s="1"/>
  <c r="K88" i="19" s="1"/>
  <c r="J92" i="19"/>
  <c r="J90" i="19" s="1"/>
  <c r="J89" i="19" s="1"/>
  <c r="J88" i="19" s="1"/>
  <c r="R87" i="19"/>
  <c r="R86" i="19" s="1"/>
  <c r="U84" i="19"/>
  <c r="U83" i="19" s="1"/>
  <c r="T84" i="19"/>
  <c r="T83" i="19" s="1"/>
  <c r="S84" i="19"/>
  <c r="S83" i="19" s="1"/>
  <c r="Q84" i="19"/>
  <c r="Q83" i="19" s="1"/>
  <c r="P84" i="19"/>
  <c r="P83" i="19" s="1"/>
  <c r="O84" i="19"/>
  <c r="O83" i="19" s="1"/>
  <c r="N84" i="19"/>
  <c r="N83" i="19" s="1"/>
  <c r="M84" i="19"/>
  <c r="M83" i="19" s="1"/>
  <c r="L84" i="19"/>
  <c r="L83" i="19" s="1"/>
  <c r="K84" i="19"/>
  <c r="K83" i="19" s="1"/>
  <c r="J84" i="19"/>
  <c r="J83" i="19" s="1"/>
  <c r="X84" i="19"/>
  <c r="R81" i="19"/>
  <c r="N81" i="19"/>
  <c r="J81" i="19"/>
  <c r="R80" i="19"/>
  <c r="N80" i="19"/>
  <c r="J80" i="19"/>
  <c r="U79" i="19"/>
  <c r="T79" i="19"/>
  <c r="S79" i="19"/>
  <c r="Q79" i="19"/>
  <c r="P79" i="19"/>
  <c r="O79" i="19"/>
  <c r="M79" i="19"/>
  <c r="L79" i="19"/>
  <c r="L77" i="19" s="1"/>
  <c r="L76" i="19" s="1"/>
  <c r="K79" i="19"/>
  <c r="K77" i="19" s="1"/>
  <c r="K76" i="19" s="1"/>
  <c r="R74" i="19"/>
  <c r="R73" i="19" s="1"/>
  <c r="N74" i="19"/>
  <c r="N73" i="19" s="1"/>
  <c r="J74" i="19"/>
  <c r="J73" i="19" s="1"/>
  <c r="U73" i="19"/>
  <c r="T73" i="19"/>
  <c r="S73" i="19"/>
  <c r="Q73" i="19"/>
  <c r="P73" i="19"/>
  <c r="O73" i="19"/>
  <c r="M73" i="19"/>
  <c r="L73" i="19"/>
  <c r="K73" i="19"/>
  <c r="T68" i="19"/>
  <c r="N68" i="19"/>
  <c r="M68" i="19"/>
  <c r="U67" i="19"/>
  <c r="U65" i="19" s="1"/>
  <c r="U64" i="19" s="1"/>
  <c r="S67" i="19"/>
  <c r="S65" i="19" s="1"/>
  <c r="S64" i="19" s="1"/>
  <c r="Q67" i="19"/>
  <c r="Q65" i="19" s="1"/>
  <c r="Q64" i="19" s="1"/>
  <c r="P67" i="19"/>
  <c r="P65" i="19" s="1"/>
  <c r="P64" i="19" s="1"/>
  <c r="O67" i="19"/>
  <c r="O65" i="19" s="1"/>
  <c r="O64" i="19" s="1"/>
  <c r="L67" i="19"/>
  <c r="L65" i="19" s="1"/>
  <c r="L64" i="19" s="1"/>
  <c r="K67" i="19"/>
  <c r="K65" i="19" s="1"/>
  <c r="K64" i="19" s="1"/>
  <c r="R62" i="19"/>
  <c r="N62" i="19"/>
  <c r="J62" i="19"/>
  <c r="M61" i="19"/>
  <c r="J61" i="19" s="1"/>
  <c r="R60" i="19"/>
  <c r="N60" i="19"/>
  <c r="M60" i="19"/>
  <c r="R59" i="19"/>
  <c r="N59" i="19"/>
  <c r="M59" i="19"/>
  <c r="J59" i="19" s="1"/>
  <c r="T58" i="19"/>
  <c r="T56" i="19" s="1"/>
  <c r="T55" i="19" s="1"/>
  <c r="S58" i="19"/>
  <c r="S56" i="19" s="1"/>
  <c r="S55" i="19" s="1"/>
  <c r="Q58" i="19"/>
  <c r="Q56" i="19" s="1"/>
  <c r="Q55" i="19" s="1"/>
  <c r="O58" i="19"/>
  <c r="O56" i="19" s="1"/>
  <c r="O55" i="19" s="1"/>
  <c r="L58" i="19"/>
  <c r="L56" i="19" s="1"/>
  <c r="L55" i="19" s="1"/>
  <c r="K58" i="19"/>
  <c r="K56" i="19" s="1"/>
  <c r="K55" i="19" s="1"/>
  <c r="R53" i="19"/>
  <c r="N53" i="19"/>
  <c r="J53" i="19"/>
  <c r="U52" i="19"/>
  <c r="T52" i="19"/>
  <c r="T51" i="19" s="1"/>
  <c r="Q52" i="19"/>
  <c r="S51" i="19"/>
  <c r="P51" i="19"/>
  <c r="O51" i="19"/>
  <c r="M51" i="19"/>
  <c r="L51" i="19"/>
  <c r="K51" i="19"/>
  <c r="R46" i="19"/>
  <c r="N46" i="19"/>
  <c r="J46" i="19"/>
  <c r="R45" i="19"/>
  <c r="N45" i="19"/>
  <c r="J45" i="19"/>
  <c r="U44" i="19"/>
  <c r="U42" i="19" s="1"/>
  <c r="U41" i="19" s="1"/>
  <c r="T44" i="19"/>
  <c r="T42" i="19" s="1"/>
  <c r="T41" i="19" s="1"/>
  <c r="S44" i="19"/>
  <c r="S42" i="19" s="1"/>
  <c r="S41" i="19" s="1"/>
  <c r="Q44" i="19"/>
  <c r="Q42" i="19" s="1"/>
  <c r="Q41" i="19" s="1"/>
  <c r="P44" i="19"/>
  <c r="P42" i="19" s="1"/>
  <c r="P41" i="19" s="1"/>
  <c r="O44" i="19"/>
  <c r="O42" i="19" s="1"/>
  <c r="O41" i="19" s="1"/>
  <c r="M44" i="19"/>
  <c r="M42" i="19" s="1"/>
  <c r="M41" i="19" s="1"/>
  <c r="L44" i="19"/>
  <c r="L42" i="19" s="1"/>
  <c r="L41" i="19" s="1"/>
  <c r="K44" i="19"/>
  <c r="K42" i="19" s="1"/>
  <c r="K41" i="19" s="1"/>
  <c r="X42" i="19"/>
  <c r="M35" i="19"/>
  <c r="M34" i="19" s="1"/>
  <c r="R38" i="19"/>
  <c r="R37" i="19" s="1"/>
  <c r="N38" i="19"/>
  <c r="N37" i="19" s="1"/>
  <c r="U35" i="19"/>
  <c r="U34" i="19" s="1"/>
  <c r="T35" i="19"/>
  <c r="T34" i="19" s="1"/>
  <c r="S35" i="19"/>
  <c r="S34" i="19" s="1"/>
  <c r="P35" i="19"/>
  <c r="P34" i="19" s="1"/>
  <c r="O35" i="19"/>
  <c r="O34" i="19" s="1"/>
  <c r="L35" i="19"/>
  <c r="L34" i="19" s="1"/>
  <c r="K35" i="19"/>
  <c r="K34" i="19" s="1"/>
  <c r="J35" i="19"/>
  <c r="J34" i="19" s="1"/>
  <c r="T32" i="19"/>
  <c r="R32" i="19" s="1"/>
  <c r="N32" i="19"/>
  <c r="U31" i="19"/>
  <c r="U29" i="19" s="1"/>
  <c r="U28" i="19" s="1"/>
  <c r="S31" i="19"/>
  <c r="S29" i="19" s="1"/>
  <c r="S28" i="19" s="1"/>
  <c r="Q31" i="19"/>
  <c r="Q29" i="19" s="1"/>
  <c r="Q28" i="19" s="1"/>
  <c r="P31" i="19"/>
  <c r="P29" i="19" s="1"/>
  <c r="P28" i="19" s="1"/>
  <c r="O31" i="19"/>
  <c r="O29" i="19" s="1"/>
  <c r="O28" i="19" s="1"/>
  <c r="M31" i="19"/>
  <c r="M29" i="19" s="1"/>
  <c r="M28" i="19" s="1"/>
  <c r="L31" i="19"/>
  <c r="L29" i="19" s="1"/>
  <c r="L28" i="19" s="1"/>
  <c r="K31" i="19"/>
  <c r="K29" i="19" s="1"/>
  <c r="K28" i="19" s="1"/>
  <c r="J31" i="19"/>
  <c r="J29" i="19" s="1"/>
  <c r="J28" i="19" s="1"/>
  <c r="K23" i="19"/>
  <c r="K21" i="19" s="1"/>
  <c r="K20" i="19" s="1"/>
  <c r="R26" i="19"/>
  <c r="N26" i="19"/>
  <c r="J26" i="19"/>
  <c r="V25" i="19"/>
  <c r="V23" i="19" s="1"/>
  <c r="V21" i="19" s="1"/>
  <c r="V20" i="19" s="1"/>
  <c r="R25" i="19"/>
  <c r="N25" i="19"/>
  <c r="L25" i="19"/>
  <c r="J25" i="19" s="1"/>
  <c r="R24" i="19"/>
  <c r="N24" i="19"/>
  <c r="M24" i="19"/>
  <c r="M23" i="19" s="1"/>
  <c r="M21" i="19" s="1"/>
  <c r="M20" i="19" s="1"/>
  <c r="U23" i="19"/>
  <c r="U21" i="19" s="1"/>
  <c r="U20" i="19" s="1"/>
  <c r="T23" i="19"/>
  <c r="T21" i="19" s="1"/>
  <c r="T20" i="19" s="1"/>
  <c r="S23" i="19"/>
  <c r="S21" i="19" s="1"/>
  <c r="S20" i="19" s="1"/>
  <c r="Q23" i="19"/>
  <c r="Q21" i="19" s="1"/>
  <c r="Q20" i="19" s="1"/>
  <c r="P23" i="19"/>
  <c r="P21" i="19" s="1"/>
  <c r="P20" i="19" s="1"/>
  <c r="O23" i="19"/>
  <c r="O21" i="19" s="1"/>
  <c r="O20" i="19" s="1"/>
  <c r="N15" i="19"/>
  <c r="N14" i="19" s="1"/>
  <c r="J14" i="19"/>
  <c r="S18" i="19"/>
  <c r="T15" i="19"/>
  <c r="T14" i="19" s="1"/>
  <c r="Q15" i="19"/>
  <c r="Q14" i="19" s="1"/>
  <c r="P15" i="19"/>
  <c r="P14" i="19" s="1"/>
  <c r="O15" i="19"/>
  <c r="O14" i="19" s="1"/>
  <c r="M15" i="19"/>
  <c r="M14" i="19" s="1"/>
  <c r="L15" i="19"/>
  <c r="L14" i="19" s="1"/>
  <c r="K15" i="19"/>
  <c r="K14" i="19" s="1"/>
  <c r="U15" i="19"/>
  <c r="U14" i="19" s="1"/>
  <c r="L38" i="18"/>
  <c r="K37" i="18"/>
  <c r="L37" i="18" s="1"/>
  <c r="U36" i="18"/>
  <c r="U35" i="18" s="1"/>
  <c r="T36" i="18"/>
  <c r="T35" i="18" s="1"/>
  <c r="R36" i="18"/>
  <c r="R35" i="18" s="1"/>
  <c r="Q36" i="18"/>
  <c r="Q35" i="18" s="1"/>
  <c r="P36" i="18"/>
  <c r="P35" i="18" s="1"/>
  <c r="O36" i="18"/>
  <c r="O35" i="18" s="1"/>
  <c r="N36" i="18"/>
  <c r="N35" i="18" s="1"/>
  <c r="M36" i="18"/>
  <c r="M35" i="18" s="1"/>
  <c r="J36" i="18"/>
  <c r="J35" i="18" s="1"/>
  <c r="S33" i="18"/>
  <c r="S32" i="18" s="1"/>
  <c r="R30" i="18"/>
  <c r="N30" i="18"/>
  <c r="V26" i="18"/>
  <c r="U29" i="18"/>
  <c r="U27" i="18" s="1"/>
  <c r="U26" i="18" s="1"/>
  <c r="S29" i="18"/>
  <c r="S27" i="18" s="1"/>
  <c r="S26" i="18" s="1"/>
  <c r="Q29" i="18"/>
  <c r="Q27" i="18" s="1"/>
  <c r="Q26" i="18" s="1"/>
  <c r="P29" i="18"/>
  <c r="P27" i="18" s="1"/>
  <c r="P26" i="18" s="1"/>
  <c r="O29" i="18"/>
  <c r="O27" i="18" s="1"/>
  <c r="O26" i="18" s="1"/>
  <c r="M29" i="18"/>
  <c r="M27" i="18" s="1"/>
  <c r="M26" i="18" s="1"/>
  <c r="L29" i="18"/>
  <c r="L27" i="18" s="1"/>
  <c r="L26" i="18" s="1"/>
  <c r="K29" i="18"/>
  <c r="K27" i="18" s="1"/>
  <c r="K26" i="18" s="1"/>
  <c r="J29" i="18"/>
  <c r="J27" i="18" s="1"/>
  <c r="J26" i="18" s="1"/>
  <c r="R24" i="18"/>
  <c r="R23" i="18" s="1"/>
  <c r="N24" i="18"/>
  <c r="N23" i="18" s="1"/>
  <c r="S18" i="18"/>
  <c r="R18" i="18" s="1"/>
  <c r="R17" i="18" s="1"/>
  <c r="T306" i="20" l="1"/>
  <c r="O306" i="20"/>
  <c r="O305" i="20" s="1"/>
  <c r="O11" i="20" s="1"/>
  <c r="Q306" i="20"/>
  <c r="S306" i="20"/>
  <c r="S305" i="20" s="1"/>
  <c r="S11" i="20" s="1"/>
  <c r="V306" i="20"/>
  <c r="V305" i="20" s="1"/>
  <c r="V11" i="20" s="1"/>
  <c r="U306" i="20"/>
  <c r="K306" i="20"/>
  <c r="K305" i="20" s="1"/>
  <c r="N306" i="20"/>
  <c r="R306" i="20"/>
  <c r="P306" i="20"/>
  <c r="P305" i="20" s="1"/>
  <c r="P11" i="20" s="1"/>
  <c r="M306" i="20"/>
  <c r="L306" i="20"/>
  <c r="L305" i="20" s="1"/>
  <c r="N873" i="20"/>
  <c r="R873" i="20"/>
  <c r="N27" i="20"/>
  <c r="N26" i="20" s="1"/>
  <c r="N13" i="20" s="1"/>
  <c r="W583" i="20"/>
  <c r="AC585" i="20"/>
  <c r="AC13" i="20"/>
  <c r="AC94" i="20"/>
  <c r="D43" i="5"/>
  <c r="D9" i="5" s="1"/>
  <c r="D83" i="5" s="1"/>
  <c r="R188" i="20"/>
  <c r="R187" i="20" s="1"/>
  <c r="R186" i="20" s="1"/>
  <c r="U708" i="20"/>
  <c r="U707" i="20" s="1"/>
  <c r="U581" i="20" s="1"/>
  <c r="J305" i="20"/>
  <c r="J11" i="20" s="1"/>
  <c r="M27" i="20"/>
  <c r="M26" i="20" s="1"/>
  <c r="M13" i="20" s="1"/>
  <c r="R708" i="20"/>
  <c r="R707" i="20" s="1"/>
  <c r="R581" i="20" s="1"/>
  <c r="M581" i="20"/>
  <c r="U27" i="20"/>
  <c r="U26" i="20" s="1"/>
  <c r="U13" i="20" s="1"/>
  <c r="N188" i="20"/>
  <c r="N187" i="20" s="1"/>
  <c r="N186" i="20" s="1"/>
  <c r="T305" i="20"/>
  <c r="T11" i="20" s="1"/>
  <c r="Q708" i="20"/>
  <c r="Q707" i="20" s="1"/>
  <c r="Q581" i="20" s="1"/>
  <c r="R27" i="20"/>
  <c r="R26" i="20" s="1"/>
  <c r="R13" i="20" s="1"/>
  <c r="K978" i="20"/>
  <c r="K977" i="20" s="1"/>
  <c r="K945" i="20" s="1"/>
  <c r="N712" i="20"/>
  <c r="N708" i="20" s="1"/>
  <c r="N707" i="20" s="1"/>
  <c r="N581" i="20" s="1"/>
  <c r="L945" i="20"/>
  <c r="K13" i="19"/>
  <c r="R18" i="19"/>
  <c r="R17" i="19" s="1"/>
  <c r="R15" i="19" s="1"/>
  <c r="R14" i="19" s="1"/>
  <c r="S17" i="19"/>
  <c r="S15" i="19" s="1"/>
  <c r="S14" i="19" s="1"/>
  <c r="S13" i="19" s="1"/>
  <c r="M13" i="19"/>
  <c r="P13" i="19"/>
  <c r="U13" i="19"/>
  <c r="O13" i="19"/>
  <c r="V13" i="19"/>
  <c r="K36" i="18"/>
  <c r="K35" i="18" s="1"/>
  <c r="K33" i="18" s="1"/>
  <c r="K32" i="18" s="1"/>
  <c r="K13" i="18" s="1"/>
  <c r="K12" i="18" s="1"/>
  <c r="K11" i="18" s="1"/>
  <c r="P49" i="19"/>
  <c r="P48" i="19" s="1"/>
  <c r="O49" i="19"/>
  <c r="O48" i="19" s="1"/>
  <c r="K49" i="19"/>
  <c r="K48" i="19" s="1"/>
  <c r="K71" i="19"/>
  <c r="K70" i="19" s="1"/>
  <c r="R31" i="19"/>
  <c r="R29" i="19" s="1"/>
  <c r="R28" i="19" s="1"/>
  <c r="J51" i="19"/>
  <c r="J49" i="19" s="1"/>
  <c r="J48" i="19" s="1"/>
  <c r="P77" i="19"/>
  <c r="P76" i="19" s="1"/>
  <c r="U58" i="19"/>
  <c r="U56" i="19" s="1"/>
  <c r="U55" i="19" s="1"/>
  <c r="Q71" i="19"/>
  <c r="Q70" i="19" s="1"/>
  <c r="M49" i="19"/>
  <c r="M48" i="19" s="1"/>
  <c r="O71" i="19"/>
  <c r="O70" i="19" s="1"/>
  <c r="R23" i="19"/>
  <c r="R21" i="19" s="1"/>
  <c r="R20" i="19" s="1"/>
  <c r="O77" i="19"/>
  <c r="O76" i="19" s="1"/>
  <c r="N79" i="19"/>
  <c r="N77" i="19" s="1"/>
  <c r="N76" i="19" s="1"/>
  <c r="R84" i="19"/>
  <c r="R83" i="19" s="1"/>
  <c r="L23" i="19"/>
  <c r="L21" i="19" s="1"/>
  <c r="L20" i="19" s="1"/>
  <c r="L13" i="19" s="1"/>
  <c r="S49" i="19"/>
  <c r="S48" i="19" s="1"/>
  <c r="Q35" i="19"/>
  <c r="Q34" i="19" s="1"/>
  <c r="Q13" i="19" s="1"/>
  <c r="N35" i="19"/>
  <c r="N34" i="19" s="1"/>
  <c r="L49" i="19"/>
  <c r="L48" i="19" s="1"/>
  <c r="J71" i="19"/>
  <c r="J70" i="19" s="1"/>
  <c r="S71" i="19"/>
  <c r="S70" i="19" s="1"/>
  <c r="T31" i="19"/>
  <c r="T29" i="19" s="1"/>
  <c r="T28" i="19" s="1"/>
  <c r="T13" i="19" s="1"/>
  <c r="S17" i="18"/>
  <c r="S15" i="18" s="1"/>
  <c r="S14" i="18" s="1"/>
  <c r="S13" i="18" s="1"/>
  <c r="S12" i="18" s="1"/>
  <c r="S11" i="18" s="1"/>
  <c r="R15" i="18"/>
  <c r="R14" i="18" s="1"/>
  <c r="N21" i="18"/>
  <c r="N20" i="18" s="1"/>
  <c r="Q33" i="18"/>
  <c r="Q32" i="18" s="1"/>
  <c r="Q13" i="18" s="1"/>
  <c r="Q12" i="18" s="1"/>
  <c r="Q11" i="18" s="1"/>
  <c r="N33" i="18"/>
  <c r="N32" i="18" s="1"/>
  <c r="R33" i="18"/>
  <c r="R32" i="18" s="1"/>
  <c r="L36" i="18"/>
  <c r="M33" i="18"/>
  <c r="M32" i="18" s="1"/>
  <c r="M13" i="18" s="1"/>
  <c r="M12" i="18" s="1"/>
  <c r="M11" i="18" s="1"/>
  <c r="U33" i="18"/>
  <c r="U32" i="18" s="1"/>
  <c r="U13" i="18" s="1"/>
  <c r="U12" i="18" s="1"/>
  <c r="U11" i="18" s="1"/>
  <c r="N29" i="18"/>
  <c r="N27" i="18" s="1"/>
  <c r="N26" i="18" s="1"/>
  <c r="T33" i="18"/>
  <c r="T32" i="18" s="1"/>
  <c r="P33" i="18"/>
  <c r="P32" i="18" s="1"/>
  <c r="P13" i="18" s="1"/>
  <c r="P12" i="18" s="1"/>
  <c r="P11" i="18" s="1"/>
  <c r="R21" i="18"/>
  <c r="R20" i="18" s="1"/>
  <c r="R29" i="18"/>
  <c r="R27" i="18" s="1"/>
  <c r="R26" i="18" s="1"/>
  <c r="V32" i="18"/>
  <c r="V13" i="18" s="1"/>
  <c r="J33" i="18"/>
  <c r="J32" i="18" s="1"/>
  <c r="O33" i="18"/>
  <c r="O32" i="18" s="1"/>
  <c r="O13" i="18" s="1"/>
  <c r="O12" i="18" s="1"/>
  <c r="O11" i="18" s="1"/>
  <c r="N23" i="19"/>
  <c r="N21" i="19" s="1"/>
  <c r="N20" i="19" s="1"/>
  <c r="N44" i="19"/>
  <c r="N42" i="19" s="1"/>
  <c r="N41" i="19" s="1"/>
  <c r="R52" i="19"/>
  <c r="R51" i="19" s="1"/>
  <c r="R49" i="19" s="1"/>
  <c r="R48" i="19" s="1"/>
  <c r="U71" i="19"/>
  <c r="U70" i="19" s="1"/>
  <c r="M77" i="19"/>
  <c r="M76" i="19" s="1"/>
  <c r="Q77" i="19"/>
  <c r="Q76" i="19" s="1"/>
  <c r="J79" i="19"/>
  <c r="J77" i="19" s="1"/>
  <c r="J76" i="19" s="1"/>
  <c r="S77" i="19"/>
  <c r="S76" i="19" s="1"/>
  <c r="J44" i="19"/>
  <c r="J42" i="19" s="1"/>
  <c r="J41" i="19" s="1"/>
  <c r="M71" i="19"/>
  <c r="M70" i="19" s="1"/>
  <c r="T77" i="19"/>
  <c r="T76" i="19" s="1"/>
  <c r="N67" i="19"/>
  <c r="N65" i="19" s="1"/>
  <c r="N64" i="19" s="1"/>
  <c r="J24" i="19"/>
  <c r="N31" i="19"/>
  <c r="N29" i="19" s="1"/>
  <c r="N28" i="19" s="1"/>
  <c r="R35" i="19"/>
  <c r="R34" i="19" s="1"/>
  <c r="U51" i="19"/>
  <c r="U49" i="19" s="1"/>
  <c r="U48" i="19" s="1"/>
  <c r="N71" i="19"/>
  <c r="N70" i="19" s="1"/>
  <c r="P58" i="19"/>
  <c r="P56" i="19" s="1"/>
  <c r="P55" i="19" s="1"/>
  <c r="N58" i="19"/>
  <c r="N56" i="19" s="1"/>
  <c r="N55" i="19" s="1"/>
  <c r="N52" i="19"/>
  <c r="N51" i="19" s="1"/>
  <c r="N49" i="19" s="1"/>
  <c r="N48" i="19" s="1"/>
  <c r="Q51" i="19"/>
  <c r="Q49" i="19" s="1"/>
  <c r="Q48" i="19" s="1"/>
  <c r="J60" i="19"/>
  <c r="J58" i="19" s="1"/>
  <c r="J56" i="19" s="1"/>
  <c r="J55" i="19" s="1"/>
  <c r="M58" i="19"/>
  <c r="M56" i="19" s="1"/>
  <c r="M55" i="19" s="1"/>
  <c r="J68" i="19"/>
  <c r="J67" i="19" s="1"/>
  <c r="J65" i="19" s="1"/>
  <c r="J64" i="19" s="1"/>
  <c r="M67" i="19"/>
  <c r="M65" i="19" s="1"/>
  <c r="M64" i="19" s="1"/>
  <c r="R58" i="19"/>
  <c r="R56" i="19" s="1"/>
  <c r="R55" i="19" s="1"/>
  <c r="U77" i="19"/>
  <c r="U76" i="19" s="1"/>
  <c r="R79" i="19"/>
  <c r="R77" i="19" s="1"/>
  <c r="R76" i="19" s="1"/>
  <c r="R71" i="19"/>
  <c r="R70" i="19" s="1"/>
  <c r="R44" i="19"/>
  <c r="R42" i="19" s="1"/>
  <c r="R41" i="19" s="1"/>
  <c r="L71" i="19"/>
  <c r="L70" i="19" s="1"/>
  <c r="P71" i="19"/>
  <c r="P70" i="19" s="1"/>
  <c r="T71" i="19"/>
  <c r="T70" i="19" s="1"/>
  <c r="T49" i="19"/>
  <c r="T48" i="19" s="1"/>
  <c r="R68" i="19"/>
  <c r="R67" i="19" s="1"/>
  <c r="R65" i="19" s="1"/>
  <c r="R64" i="19" s="1"/>
  <c r="T67" i="19"/>
  <c r="T65" i="19" s="1"/>
  <c r="T64" i="19" s="1"/>
  <c r="T29" i="18"/>
  <c r="T27" i="18" s="1"/>
  <c r="T26" i="18" s="1"/>
  <c r="J16" i="6"/>
  <c r="J10" i="6" s="1"/>
  <c r="D84" i="5" l="1"/>
  <c r="D85" i="5"/>
  <c r="U305" i="20"/>
  <c r="U11" i="20" s="1"/>
  <c r="W582" i="20"/>
  <c r="AC583" i="20"/>
  <c r="K11" i="20"/>
  <c r="R305" i="20"/>
  <c r="R11" i="20" s="1"/>
  <c r="L11" i="20"/>
  <c r="M305" i="20"/>
  <c r="M11" i="20" s="1"/>
  <c r="N305" i="20"/>
  <c r="N11" i="20" s="1"/>
  <c r="Q305" i="20"/>
  <c r="Q11" i="20" s="1"/>
  <c r="C44" i="5"/>
  <c r="V12" i="18"/>
  <c r="V11" i="18" s="1"/>
  <c r="S40" i="19"/>
  <c r="S12" i="19" s="1"/>
  <c r="S11" i="19" s="1"/>
  <c r="N13" i="19"/>
  <c r="K40" i="19"/>
  <c r="K12" i="19" s="1"/>
  <c r="K11" i="19" s="1"/>
  <c r="U40" i="19"/>
  <c r="U12" i="19" s="1"/>
  <c r="U11" i="19" s="1"/>
  <c r="T13" i="18"/>
  <c r="T12" i="18" s="1"/>
  <c r="T11" i="18" s="1"/>
  <c r="M40" i="19"/>
  <c r="M12" i="19" s="1"/>
  <c r="M11" i="19" s="1"/>
  <c r="V40" i="19"/>
  <c r="V12" i="19" s="1"/>
  <c r="V11" i="19" s="1"/>
  <c r="L40" i="19"/>
  <c r="L12" i="19" s="1"/>
  <c r="L11" i="19" s="1"/>
  <c r="T40" i="19"/>
  <c r="T12" i="19" s="1"/>
  <c r="T11" i="19" s="1"/>
  <c r="O40" i="19"/>
  <c r="O12" i="19" s="1"/>
  <c r="O11" i="19" s="1"/>
  <c r="Q40" i="19"/>
  <c r="Q12" i="19" s="1"/>
  <c r="Q11" i="19" s="1"/>
  <c r="P40" i="19"/>
  <c r="P12" i="19" s="1"/>
  <c r="P11" i="19" s="1"/>
  <c r="J23" i="19"/>
  <c r="J21" i="19" s="1"/>
  <c r="J20" i="19" s="1"/>
  <c r="J13" i="19" s="1"/>
  <c r="N40" i="19"/>
  <c r="R13" i="19"/>
  <c r="J40" i="19"/>
  <c r="R40" i="19"/>
  <c r="N13" i="18"/>
  <c r="N12" i="18" s="1"/>
  <c r="N11" i="18" s="1"/>
  <c r="R13" i="18"/>
  <c r="R12" i="18" s="1"/>
  <c r="R11" i="18" s="1"/>
  <c r="L35" i="18"/>
  <c r="L33" i="18" s="1"/>
  <c r="L32" i="18" s="1"/>
  <c r="L13" i="18" s="1"/>
  <c r="L12" i="18" s="1"/>
  <c r="L11" i="18" s="1"/>
  <c r="J21" i="18"/>
  <c r="J20" i="18" s="1"/>
  <c r="J13" i="18" s="1"/>
  <c r="J12" i="18" s="1"/>
  <c r="J11" i="18" s="1"/>
  <c r="AC582" i="20" l="1"/>
  <c r="N31" i="5"/>
  <c r="N12" i="19"/>
  <c r="N11" i="19" s="1"/>
  <c r="J12" i="19"/>
  <c r="J11" i="19" s="1"/>
  <c r="R12" i="19"/>
  <c r="R11" i="19" s="1"/>
  <c r="M31" i="5" l="1"/>
  <c r="S31" i="5" s="1"/>
  <c r="U31" i="5"/>
  <c r="C31" i="5" l="1"/>
  <c r="I11" i="6" l="1"/>
  <c r="G17" i="6"/>
  <c r="G16" i="6"/>
  <c r="G15" i="6"/>
  <c r="G14" i="6"/>
  <c r="G13" i="6"/>
  <c r="D132" i="7"/>
  <c r="D131" i="7"/>
  <c r="D130" i="7"/>
  <c r="D129" i="7"/>
  <c r="D128" i="7"/>
  <c r="D127" i="7"/>
  <c r="D126" i="7"/>
  <c r="D125" i="7"/>
  <c r="D124" i="7"/>
  <c r="D123" i="7"/>
  <c r="D122" i="7"/>
  <c r="D121" i="7"/>
  <c r="D120" i="7"/>
  <c r="D119" i="7"/>
  <c r="D118" i="7"/>
  <c r="D117" i="7"/>
  <c r="D116" i="7"/>
  <c r="D115" i="7"/>
  <c r="D114" i="7"/>
  <c r="D113" i="7"/>
  <c r="D112" i="7"/>
  <c r="D111" i="7"/>
  <c r="D110" i="7"/>
  <c r="D109" i="7"/>
  <c r="D108" i="7"/>
  <c r="D107" i="7"/>
  <c r="D106" i="7"/>
  <c r="D105" i="7"/>
  <c r="D104" i="7"/>
  <c r="D103" i="7"/>
  <c r="D102" i="7"/>
  <c r="D101" i="7"/>
  <c r="D100" i="7"/>
  <c r="D99" i="7"/>
  <c r="D98" i="7"/>
  <c r="D97" i="7"/>
  <c r="D96" i="7"/>
  <c r="D95" i="7"/>
  <c r="D94" i="7"/>
  <c r="D93" i="7"/>
  <c r="D92" i="7"/>
  <c r="D91" i="7"/>
  <c r="D90" i="7"/>
  <c r="D89" i="7"/>
  <c r="D88" i="7"/>
  <c r="D87" i="7"/>
  <c r="D86" i="7"/>
  <c r="D85" i="7"/>
  <c r="D84" i="7"/>
  <c r="D83" i="7"/>
  <c r="D82" i="7"/>
  <c r="D81" i="7"/>
  <c r="D80" i="7"/>
  <c r="D79" i="7"/>
  <c r="D78" i="7"/>
  <c r="D77" i="7"/>
  <c r="D76" i="7"/>
  <c r="D75" i="7"/>
  <c r="D74" i="7"/>
  <c r="D73" i="7"/>
  <c r="D72" i="7"/>
  <c r="D71" i="7"/>
  <c r="D70" i="7"/>
  <c r="D69" i="7"/>
  <c r="D68" i="7"/>
  <c r="D67" i="7"/>
  <c r="D66" i="7"/>
  <c r="D65" i="7"/>
  <c r="D64" i="7"/>
  <c r="D63" i="7"/>
  <c r="D62" i="7"/>
  <c r="D61" i="7"/>
  <c r="D60" i="7"/>
  <c r="D59" i="7"/>
  <c r="D58" i="7"/>
  <c r="D57" i="7"/>
  <c r="D56" i="7"/>
  <c r="D55" i="7"/>
  <c r="D54" i="7"/>
  <c r="D53" i="7"/>
  <c r="D52" i="7"/>
  <c r="D51" i="7"/>
  <c r="D50" i="7"/>
  <c r="D49" i="7"/>
  <c r="D48" i="7"/>
  <c r="D47" i="7"/>
  <c r="D46" i="7"/>
  <c r="D45" i="7"/>
  <c r="D44" i="7"/>
  <c r="D43" i="7"/>
  <c r="D42" i="7"/>
  <c r="D41" i="7"/>
  <c r="D40" i="7"/>
  <c r="D39" i="7"/>
  <c r="D38" i="7"/>
  <c r="D37" i="7"/>
  <c r="D36" i="7"/>
  <c r="D35" i="7"/>
  <c r="D34" i="7"/>
  <c r="D33" i="7"/>
  <c r="D32" i="7"/>
  <c r="D31" i="7"/>
  <c r="D30" i="7"/>
  <c r="D29" i="7"/>
  <c r="D28" i="7"/>
  <c r="D27" i="7"/>
  <c r="D26" i="7"/>
  <c r="D25" i="7"/>
  <c r="D24" i="7"/>
  <c r="D23" i="7"/>
  <c r="D22" i="7"/>
  <c r="D21" i="7"/>
  <c r="D20" i="7"/>
  <c r="D19" i="7"/>
  <c r="D18" i="7"/>
  <c r="D17" i="7"/>
  <c r="D16" i="7"/>
  <c r="D15" i="7"/>
  <c r="D14" i="7"/>
  <c r="D13" i="7"/>
  <c r="D12" i="7"/>
  <c r="D11" i="7"/>
  <c r="D10" i="7"/>
  <c r="D9" i="7"/>
  <c r="G8" i="7"/>
  <c r="F8" i="7"/>
  <c r="E8" i="7"/>
  <c r="G46" i="6"/>
  <c r="G42" i="6"/>
  <c r="E42" i="6"/>
  <c r="E40" i="6" s="1"/>
  <c r="D42" i="6"/>
  <c r="K40" i="6" s="1"/>
  <c r="K38" i="6" s="1"/>
  <c r="I41" i="6"/>
  <c r="J40" i="6"/>
  <c r="J9" i="6" s="1"/>
  <c r="H40" i="6"/>
  <c r="H38" i="6" s="1"/>
  <c r="H25" i="6" s="1"/>
  <c r="C40" i="6"/>
  <c r="C38" i="6" s="1"/>
  <c r="I39" i="6"/>
  <c r="G39" i="6"/>
  <c r="F38" i="6"/>
  <c r="E37" i="6"/>
  <c r="E34" i="6" s="1"/>
  <c r="D37" i="6"/>
  <c r="D34" i="6" s="1"/>
  <c r="F34" i="6"/>
  <c r="E33" i="6"/>
  <c r="E31" i="6" s="1"/>
  <c r="D33" i="6"/>
  <c r="E30" i="6"/>
  <c r="E27" i="6" s="1"/>
  <c r="D30" i="6"/>
  <c r="D27" i="6" s="1"/>
  <c r="F27" i="6"/>
  <c r="C26" i="6"/>
  <c r="E24" i="6"/>
  <c r="D24" i="6"/>
  <c r="E22" i="6"/>
  <c r="D22" i="6"/>
  <c r="E20" i="6"/>
  <c r="D20" i="6"/>
  <c r="K12" i="6"/>
  <c r="K10" i="6" s="1"/>
  <c r="K9" i="6" s="1"/>
  <c r="I12" i="6"/>
  <c r="I10" i="6" s="1"/>
  <c r="H12" i="6"/>
  <c r="H10" i="6" s="1"/>
  <c r="E12" i="6"/>
  <c r="E10" i="6" s="1"/>
  <c r="D12" i="6"/>
  <c r="D10" i="6" s="1"/>
  <c r="C12" i="6"/>
  <c r="C10" i="6" s="1"/>
  <c r="F10" i="6"/>
  <c r="C86" i="5" l="1"/>
  <c r="J9" i="7"/>
  <c r="I8" i="7"/>
  <c r="J16" i="7"/>
  <c r="J15" i="7"/>
  <c r="J13" i="7"/>
  <c r="J12" i="7"/>
  <c r="J11" i="7"/>
  <c r="H9" i="6"/>
  <c r="J38" i="6"/>
  <c r="D31" i="6"/>
  <c r="D26" i="6" s="1"/>
  <c r="D8" i="7"/>
  <c r="E18" i="6"/>
  <c r="E26" i="6"/>
  <c r="G26" i="6" s="1"/>
  <c r="C25" i="6"/>
  <c r="C9" i="6" s="1"/>
  <c r="F26" i="6"/>
  <c r="F25" i="6" s="1"/>
  <c r="F9" i="6" s="1"/>
  <c r="D40" i="6"/>
  <c r="D38" i="6" s="1"/>
  <c r="G12" i="6"/>
  <c r="D18" i="6"/>
  <c r="G10" i="6"/>
  <c r="G40" i="6"/>
  <c r="G38" i="6" s="1"/>
  <c r="E38" i="6"/>
  <c r="I40" i="6"/>
  <c r="I9" i="6" s="1"/>
  <c r="E25" i="6" l="1"/>
  <c r="E9" i="6" s="1"/>
  <c r="G25" i="6"/>
  <c r="I38" i="6"/>
  <c r="G9" i="6"/>
  <c r="D25" i="6"/>
  <c r="D9" i="6" s="1"/>
  <c r="I25" i="6" l="1"/>
  <c r="AA596" i="20" l="1"/>
  <c r="AA592" i="20" s="1"/>
  <c r="AA591" i="20" s="1"/>
  <c r="AA581" i="20" s="1"/>
  <c r="AA305" i="20" s="1"/>
  <c r="AA11" i="20" s="1"/>
  <c r="W597" i="20"/>
  <c r="W596" i="20" s="1"/>
  <c r="AH11" i="20" l="1"/>
  <c r="AC597" i="20"/>
  <c r="W592" i="20" l="1"/>
  <c r="AC596" i="20"/>
  <c r="W591" i="20" l="1"/>
  <c r="AC592" i="20"/>
  <c r="AC591" i="20" l="1"/>
  <c r="W581" i="20"/>
  <c r="N43" i="5"/>
  <c r="N9" i="5" s="1"/>
  <c r="W305" i="20" l="1"/>
  <c r="W11" i="20" s="1"/>
  <c r="AC581" i="20"/>
  <c r="M43" i="5"/>
  <c r="M9" i="5" s="1"/>
  <c r="S7" i="5"/>
  <c r="AE5" i="20" l="1"/>
  <c r="AE4" i="20"/>
  <c r="AC11" i="20"/>
  <c r="U6" i="5"/>
  <c r="AE6" i="20"/>
  <c r="AF6" i="20" s="1"/>
  <c r="T6" i="5"/>
  <c r="C43" i="5"/>
  <c r="C9" i="5" s="1"/>
  <c r="S43" i="5"/>
  <c r="U43" i="5"/>
  <c r="AC305" i="20"/>
  <c r="V6" i="5" l="1"/>
  <c r="G87" i="5"/>
  <c r="AG5" i="20"/>
  <c r="AF5" i="20"/>
  <c r="T7" i="5"/>
  <c r="AK8" i="20"/>
  <c r="AL2" i="20"/>
  <c r="W7" i="5"/>
  <c r="U7" i="5"/>
  <c r="U75" i="5"/>
  <c r="W9" i="5"/>
  <c r="W10" i="5" s="1"/>
  <c r="X10" i="5" s="1"/>
  <c r="T9" i="5"/>
  <c r="J87" i="5"/>
  <c r="J88" i="5" s="1"/>
  <c r="O87" i="5"/>
  <c r="O88" i="5" s="1"/>
  <c r="K87" i="5"/>
  <c r="K88" i="5" s="1"/>
  <c r="D87" i="5"/>
  <c r="D88" i="5" s="1"/>
  <c r="Q87" i="5"/>
  <c r="Q88" i="5" s="1"/>
  <c r="P87" i="5"/>
  <c r="P88" i="5" s="1"/>
  <c r="N87" i="5"/>
  <c r="N88" i="5" s="1"/>
  <c r="M87" i="5"/>
  <c r="M88" i="5" s="1"/>
  <c r="L87" i="5"/>
  <c r="L88" i="5" s="1"/>
  <c r="R87" i="5"/>
  <c r="R88" i="5" s="1"/>
  <c r="I87" i="5"/>
  <c r="I88" i="5" s="1"/>
  <c r="F87" i="5"/>
  <c r="F88" i="5" s="1"/>
  <c r="S9" i="5"/>
  <c r="U9" i="5" s="1"/>
  <c r="H87" i="5"/>
  <c r="H88" i="5" s="1"/>
  <c r="E87" i="5"/>
  <c r="E88" i="5" s="1"/>
  <c r="G88" i="5"/>
  <c r="V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21AK22</author>
  </authors>
  <commentList>
    <comment ref="H81" authorId="0" shapeId="0" xr:uid="{00000000-0006-0000-0300-000001000000}">
      <text>
        <r>
          <rPr>
            <b/>
            <sz val="9"/>
            <color indexed="81"/>
            <rFont val="Tahoma"/>
            <family val="2"/>
          </rPr>
          <t>Sửa lại thời gian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Windows User</author>
  </authors>
  <commentList>
    <comment ref="L619" authorId="0" shapeId="0" xr:uid="{00000000-0006-0000-0400-000001000000}">
      <text>
        <r>
          <rPr>
            <b/>
            <sz val="9"/>
            <color indexed="81"/>
            <rFont val="Tahoma"/>
            <family val="2"/>
          </rPr>
          <t>Theo NQ 276</t>
        </r>
      </text>
    </comment>
    <comment ref="N779" authorId="1" shapeId="0" xr:uid="{00000000-0006-0000-0400-000002000000}">
      <text>
        <r>
          <rPr>
            <b/>
            <sz val="9"/>
            <color indexed="81"/>
            <rFont val="Tahoma"/>
            <family val="2"/>
          </rPr>
          <t>Vốn đã bố trí năm 2020: 1.000 triệu; 2021: 1.297 triệu đồng; 2024: 30.000 triệu đồng; năm 2025: 30.000 triệu đồng - 27.000 triệu đồng = 3.000 triệu đồng ( gian theo QD 2142/QĐ-UBND tỉnh ngày 14.11.2025</t>
        </r>
        <r>
          <rPr>
            <sz val="9"/>
            <color indexed="81"/>
            <rFont val="Tahoma"/>
            <family val="2"/>
          </rPr>
          <t xml:space="preserve">
</t>
        </r>
      </text>
    </comment>
    <comment ref="Q779" authorId="1" shapeId="0" xr:uid="{00000000-0006-0000-0400-000003000000}">
      <text>
        <r>
          <rPr>
            <b/>
            <sz val="9"/>
            <color indexed="81"/>
            <rFont val="Tahoma"/>
            <family val="2"/>
          </rPr>
          <t>Vốn đã bố trí năm 2020: 1.000 triệu; 2021: 1.297 triệu đồng; 2024: 30.000 triệu đồng; năm 2025: 30.000 triệu đồng - 27.000 triệu đồng = 3.000 triệu đồng ( gian theo QD 2142/QĐ-UBND tỉnh ngày 14.11.2025</t>
        </r>
        <r>
          <rPr>
            <sz val="9"/>
            <color indexed="81"/>
            <rFont val="Tahoma"/>
            <family val="2"/>
          </rPr>
          <t xml:space="preserve">
</t>
        </r>
      </text>
    </comment>
    <comment ref="R779" authorId="1" shapeId="0" xr:uid="{00000000-0006-0000-0400-000004000000}">
      <text>
        <r>
          <rPr>
            <b/>
            <sz val="9"/>
            <color indexed="81"/>
            <rFont val="Tahoma"/>
            <family val="2"/>
          </rPr>
          <t>Vốn đã bố trí năm 2020: 1.000 triệu; 2021: 1.297 triệu đồng; 2024: 30.000 triệu đồng; năm 2025: 30.000 triệu đồng - 27.000 triệu đồng = 3.000 triệu đồng ( gian theo QD 2142/QĐ-UBND tỉnh ngày 14.11.2025</t>
        </r>
        <r>
          <rPr>
            <sz val="9"/>
            <color indexed="81"/>
            <rFont val="Tahoma"/>
            <family val="2"/>
          </rPr>
          <t xml:space="preserve">
</t>
        </r>
      </text>
    </comment>
    <comment ref="U779" authorId="1" shapeId="0" xr:uid="{00000000-0006-0000-0400-000005000000}">
      <text>
        <r>
          <rPr>
            <b/>
            <sz val="9"/>
            <color indexed="81"/>
            <rFont val="Tahoma"/>
            <family val="2"/>
          </rPr>
          <t>Vốn đã bố trí năm 2020: 1.000 triệu; 2021: 1.297 triệu đồng; 2024: 30.000 triệu đồng; năm 2025: 30.000 triệu đồng - 27.000 triệu đồng = 3.000 triệu đồng ( gian theo QD 2142/QĐ-UBND tỉnh ngày 14.11.2025</t>
        </r>
        <r>
          <rPr>
            <sz val="9"/>
            <color indexed="81"/>
            <rFont val="Tahoma"/>
            <family val="2"/>
          </rPr>
          <t xml:space="preserve">
</t>
        </r>
      </text>
    </comment>
  </commentList>
</comments>
</file>

<file path=xl/sharedStrings.xml><?xml version="1.0" encoding="utf-8"?>
<sst xmlns="http://schemas.openxmlformats.org/spreadsheetml/2006/main" count="6214" uniqueCount="1882">
  <si>
    <t>DỰ TOÁN CHI ĐẦU TƯ PHÁT TRIỂN CỦA NGÂN SÁCH CẤP TỈNH</t>
  </si>
  <si>
    <t>Đơn vị: Triệu đồng</t>
  </si>
  <si>
    <t>STT</t>
  </si>
  <si>
    <t>Tên đơn vị</t>
  </si>
  <si>
    <t>Tổng số</t>
  </si>
  <si>
    <t xml:space="preserve"> Chi giáo dục - đào tạo và dạy nghề</t>
  </si>
  <si>
    <t xml:space="preserve"> Chi khoa học và công nghệ</t>
  </si>
  <si>
    <t xml:space="preserve">Chi quốc phòng </t>
  </si>
  <si>
    <t>Chi an ninh và trật tự an toàn xã hội</t>
  </si>
  <si>
    <t>Chi y tế, dân số và gia đình</t>
  </si>
  <si>
    <t>Chi văn hóa thông tin</t>
  </si>
  <si>
    <t>Chi phát thanh, truyền hình, thông tấn</t>
  </si>
  <si>
    <t>Chi thể dục thể thao</t>
  </si>
  <si>
    <t>Chi bảo vệ môi trường</t>
  </si>
  <si>
    <t>Chi các hoạt động kinh tế</t>
  </si>
  <si>
    <t>Trong đó</t>
  </si>
  <si>
    <t>Chi hoạt động của cơ quan QLNN, đảng, đoàn thể</t>
  </si>
  <si>
    <t>Chi bảo đảm xã hội</t>
  </si>
  <si>
    <t>Chi đầu tư khác</t>
  </si>
  <si>
    <t>Chi giao thông</t>
  </si>
  <si>
    <t>Chi nông nghiệp, lâm nghiệp, thủy lợi, thủy sản</t>
  </si>
  <si>
    <t>A</t>
  </si>
  <si>
    <t>B</t>
  </si>
  <si>
    <t>TỔNG SỐ</t>
  </si>
  <si>
    <t>Danh mục dự án</t>
  </si>
  <si>
    <t>Địa điểm xây dựng</t>
  </si>
  <si>
    <t>Năng lực thiết kế</t>
  </si>
  <si>
    <t>Thời gian khởi công - hoàn thành</t>
  </si>
  <si>
    <t>Quyết định đầu tư</t>
  </si>
  <si>
    <t>Số Quyết định, ngày, tháng, năm ban hành</t>
  </si>
  <si>
    <t>Tổng mức đầu tư được duyệt</t>
  </si>
  <si>
    <t>Tổng số (tất cả các nguồn vốn)</t>
  </si>
  <si>
    <t>Chia theo nguồn vốn</t>
  </si>
  <si>
    <t>Ngoài nước</t>
  </si>
  <si>
    <t>Ngân sách trung ương</t>
  </si>
  <si>
    <t>Ngân sách tỉnh</t>
  </si>
  <si>
    <t>I</t>
  </si>
  <si>
    <t>1</t>
  </si>
  <si>
    <t>Thực hiện dự án</t>
  </si>
  <si>
    <t>a</t>
  </si>
  <si>
    <t>II</t>
  </si>
  <si>
    <t>2023-2025</t>
  </si>
  <si>
    <t>III</t>
  </si>
  <si>
    <t>IV</t>
  </si>
  <si>
    <t>2022-2025</t>
  </si>
  <si>
    <t>V</t>
  </si>
  <si>
    <t>CÁC HOẠT ĐỘNG KINH TẾ</t>
  </si>
  <si>
    <t>NÔNG NGHIỆP, LÂM NGHIỆP, DIÊM NGHIỆP, THỦY LỢI THỦY SẢN</t>
  </si>
  <si>
    <t>2022-2027</t>
  </si>
  <si>
    <t>2023-2026</t>
  </si>
  <si>
    <t>VI</t>
  </si>
  <si>
    <t>GIAO THÔNG</t>
  </si>
  <si>
    <t>Đường Tôn Đức Thắng nối 2 trục Bắc Nam</t>
  </si>
  <si>
    <t>2025-2028</t>
  </si>
  <si>
    <t>Ban Quản lý dự án đầu tư xây dựng khu vực Đắk Song</t>
  </si>
  <si>
    <t>Ban Quản lý dự án đầu tư xây dựng số 3</t>
  </si>
  <si>
    <t>Dự án chuyển tiếp từ giai đoạn 2021 - 2025 sang giai đoạn 2026 - 2030</t>
  </si>
  <si>
    <t>Đạo Nghĩa - Quảng Khê, tỉnh Đắk Nông (giai đoạn 2)</t>
  </si>
  <si>
    <t>1147/QĐ-UBND ngày 30/7/2015; 2076/QĐ-UBND ngày 22/12/2015; 858/QĐ-UBND ngày 24/5/2017; 2064/QĐ-UBND ngày 28/12/2017; 1145/QĐ-UBND ngày 03/8/2021</t>
  </si>
  <si>
    <t>Giá trị khối lượng thực hiện từ khởi công đến 31/12/2025</t>
  </si>
  <si>
    <t>Lũy kế vốn đã bố trí đến 31/12/2025</t>
  </si>
  <si>
    <t>Kế hoạch vốn năm 2026</t>
  </si>
  <si>
    <t>Ban Quản lý dự án giao thông tỉnh</t>
  </si>
  <si>
    <t>Trục ven biển ĐT.719B đoạn Hòn Lan - Tân Hải</t>
  </si>
  <si>
    <t>10,5 km</t>
  </si>
  <si>
    <t>3725/ QĐ-UBND ngày 31/12/2021</t>
  </si>
  <si>
    <t>Ban Quản lý dự án đầu tư xây dựng số 1</t>
  </si>
  <si>
    <t>Dự án xây dựng đường bộ cao tốc Tân Phú (tỉnh Đồng Nai) - Bảo Lộc (tỉnh Lâm Đồng) theo phương thức đối tác công tư</t>
  </si>
  <si>
    <t>Phường 1 - Bảo Lộc, Phường 2 - Bảo Lộc, xã Đạ Huoai, xã Đạ Huoai 2 và xã Đạ Tẻh 2</t>
  </si>
  <si>
    <t>Khoảng 66 km</t>
  </si>
  <si>
    <t>1189/QĐ-UBND ngày 05/6/2025</t>
  </si>
  <si>
    <t>Xây dựng đường Cam Ly - Phước Thành</t>
  </si>
  <si>
    <t>Phường Cam Ly - Đà Lạt và phường Langbiang - Đà Lạt</t>
  </si>
  <si>
    <t>2021-2025</t>
  </si>
  <si>
    <t>Đường cấp III miền núi dài 8,9km và 01 cầu BTCT</t>
  </si>
  <si>
    <t>1950/QĐ-UBND ngày 27/10/2022</t>
  </si>
  <si>
    <t>Xây dựng thay thế 05 cầu yếu</t>
  </si>
  <si>
    <t>Xã: Đức Trọng, Đinh Văn - Lâm Hà, Đạ Tẻh, Đạ Tẻh 3, CátTiên 2 và xã Phước Sơn, tỉnh Đồng Nai</t>
  </si>
  <si>
    <t>01 cầu cấp II, 03 cầu cấp III và 01 cầu cấp IV</t>
  </si>
  <si>
    <t>1895/QĐ-UBND ngày 18/10/2022, 16/QĐ-UBND ngày 02/01/2024</t>
  </si>
  <si>
    <t>Ban Quản lý dự án đầu tư xây dựng khu vực Lâm Hà</t>
  </si>
  <si>
    <t>Xây dựng đường Đinh Văn - Đạ Đờn, huyện Lâm Hà</t>
  </si>
  <si>
    <t>Xã Đinh Văn Lâm Hà, Phú Sơn Lâm Hà</t>
  </si>
  <si>
    <t>Chiều dài tuyến đường khoảng 3,8 km</t>
  </si>
  <si>
    <t>1568/QĐ-UBND ngày 09/8/2023</t>
  </si>
  <si>
    <t xml:space="preserve">Đường ven hồ Đăk R’Lon thị trấn Đức An đi xã Nam Bình </t>
  </si>
  <si>
    <t>Xã Đức An</t>
  </si>
  <si>
    <t>2025-2025</t>
  </si>
  <si>
    <t>1519/QĐ-UBND ngày 12/12/2024</t>
  </si>
  <si>
    <t>Ban Quản lý dự án đầu tư xây dựng khu vực Gia Nghĩa</t>
  </si>
  <si>
    <t>Đường Lê Duẩn nối đường Võ Văn Kiệt, thành phố Gia Nghĩa</t>
  </si>
  <si>
    <t>Phường Nam, Đông Gia Nghĩa</t>
  </si>
  <si>
    <t>Phường Bắc Gia Nghĩa</t>
  </si>
  <si>
    <t>2023 -2026</t>
  </si>
  <si>
    <t>2191/QĐ-UBND ngày 23/12/2022</t>
  </si>
  <si>
    <t>1490/QĐ-UBND ngày 06/12/2024</t>
  </si>
  <si>
    <t>Cải tạo, nâng cấp Tỉnh lộ 1</t>
  </si>
  <si>
    <t>Xã Kiến Đức, xã Quảng Tân và xã Tuy Đức</t>
  </si>
  <si>
    <t>05/NQ-HĐND 29/3/2024; 1631/QĐ-UBND ngày 31/12/2024</t>
  </si>
  <si>
    <t>Đường từ thị trấn Tân Minh đi xã Sơn Mỹ, huyện Hàm Tân (cũ)</t>
  </si>
  <si>
    <t>Xã Tân Minh; Xã Hàm Tân; Xã Sơn Mỹ</t>
  </si>
  <si>
    <t>24km</t>
  </si>
  <si>
    <t>2024-2028</t>
  </si>
  <si>
    <t>2550/QĐ-UBND ngày 07/12/2023</t>
  </si>
  <si>
    <t>Đường tránh ĐT.719 và cầu qua sông Dinh, thị xã LaGi (cũ)</t>
  </si>
  <si>
    <t>Nâng cấp, mở rộng tuyến đường ĐT.717 đoạn từ điểm giao với đường ĐT766 đến giáp tỉnh Lâm Đồng</t>
  </si>
  <si>
    <t>Cầu Văn Thánh, thành phố Phan Thiết (cũ)</t>
  </si>
  <si>
    <t>Phường La Gi; Phường Phước Hội; Xã Hàm Tân</t>
  </si>
  <si>
    <t>6,84km</t>
  </si>
  <si>
    <t>1536/QĐ-UBND ngày 15/8/2024</t>
  </si>
  <si>
    <t>Xã Nghị Đức; Xã Nam Thành</t>
  </si>
  <si>
    <t>9,5 km</t>
  </si>
  <si>
    <t>1278/QĐ-UBND ngày 26/6/2025</t>
  </si>
  <si>
    <t>885/QĐ-UBND ngày 04/4/2022</t>
  </si>
  <si>
    <t>Hồ chứa nước Đông Thanh</t>
  </si>
  <si>
    <t>Xã Nam Ban Lâm Hà</t>
  </si>
  <si>
    <t>Cấp nước cho 700 ha đất nông nghiệp</t>
  </si>
  <si>
    <t>2020-2024</t>
  </si>
  <si>
    <t>1735/QĐ-UBND ngày 07/7/2021; 2224/QĐ-UBND ngày 01/9/2021; 2098/QĐ-UBND ngày 10/11/2022</t>
  </si>
  <si>
    <t>Hồ chứa nước Ta Hoét</t>
  </si>
  <si>
    <t>Xã Hiệp Thạnh</t>
  </si>
  <si>
    <t>Cấp nước cho 2.080 ha đất nông nghiệp</t>
  </si>
  <si>
    <t>2020-2025</t>
  </si>
  <si>
    <t>1617/QĐ-UBND ngày 25/6/2021; 2720/QĐ-UBND ngày 09/11/2022; 1825/QĐ-UBND ngày 22/9/2023</t>
  </si>
  <si>
    <t>Sở Nông nghiệp và Môi trường</t>
  </si>
  <si>
    <t>Tăng cường khả năng chống chịu của sản xuất nông nghiệp quy mô nhỏ với an ninh nguồn nước do biến đổi khí hậu ở khu vực Tây Nguyên và Nam Trung Bộ (SACCR) tỉnh Đăk Nông</t>
  </si>
  <si>
    <t>Các xã: Cư Jut, Nam Dong, Thuận An, Đức Lập, Đắk Sắk, Krông Nô, Nam Đà, Nam Nung</t>
  </si>
  <si>
    <t>2021-2026</t>
  </si>
  <si>
    <t>Ban Quản lý dự án nông nghiệp tỉnh</t>
  </si>
  <si>
    <t>Kè chống xâm thực, bảo vệ bờ biển phía Bắc đảo Phú Quý</t>
  </si>
  <si>
    <t>Kiên cố hóa kênh chuyển nước Sông Dinh 3-Núi Đất, huyện Hàm Tân và thị xã La Gi (cũ)</t>
  </si>
  <si>
    <t>Hàm Thuận Nam</t>
  </si>
  <si>
    <t>470/QĐ-UBND ngày 12/3/2025</t>
  </si>
  <si>
    <t>Phú Quý</t>
  </si>
  <si>
    <t>1374/QĐ-UBND ngày 27/6/2025</t>
  </si>
  <si>
    <t>Hàm Tân và La Gi</t>
  </si>
  <si>
    <t>2025-2027</t>
  </si>
  <si>
    <t>2080/QĐ-UBND ngày 29/11/2024</t>
  </si>
  <si>
    <t>KHU CÔNG NGHIỆP VÀ KHU KINH TẾ</t>
  </si>
  <si>
    <t>Cơ sở hạ tầng kỹ thuật bên trong và bên ngoài hàng rào Khu công nghiệp Nhân Cơ</t>
  </si>
  <si>
    <t>Xã Nhân Cơ</t>
  </si>
  <si>
    <t>2015-2023</t>
  </si>
  <si>
    <t>1420/QĐ-UBND, ngày 21/9/2015;
1527/QĐ-UBND ngày 13/9/2021</t>
  </si>
  <si>
    <t>740/QĐ-TTg ngày 20/5/2021; 729/QĐ-UBND ngày 24/5/2021</t>
  </si>
  <si>
    <t>-</t>
  </si>
  <si>
    <t>Công trình giao thông cấp III</t>
  </si>
  <si>
    <t xml:space="preserve">Phường Tiến Thành; Bình Thuận </t>
  </si>
  <si>
    <t>Tuyến kè dài khoảng 1.900m</t>
  </si>
  <si>
    <t>Dự án Nâng cao hiệu quả sử dụng nước cho các tỉnh ảnh hưởng bởi hạn hán (WEIDAP/ADB8)</t>
  </si>
  <si>
    <t>Tiểu dự án: Nâng cao hiệu quả sử dụng nguồn nước từ các công tình thủy lợi trên địa bàn  huyện Cư Jút, tỉnh Đắk Nông</t>
  </si>
  <si>
    <t>Tiểu dự án: Nâng cao hiệu quả sử dụng nguồn nước từ các công tình thủy lợi trên địa bàn huyện  Đắk Mil, tỉnh Đắk Nông</t>
  </si>
  <si>
    <t>Xã Cư Jút</t>
  </si>
  <si>
    <t>Xã Đắk Mil</t>
  </si>
  <si>
    <t>1073/QĐ-UBND, ngày 11/7/2018; 663/QĐ-UBND, ngày 09/5/2019; 1714/QĐ-UBND, ngày 14/10/2021</t>
  </si>
  <si>
    <t>2018-2025</t>
  </si>
  <si>
    <t>2018-2026</t>
  </si>
  <si>
    <t>Nâng cao hiệu quả sử dụng nước cho các tỉnh bị ảnh hưởng bởi hạn hán (ADB8)</t>
  </si>
  <si>
    <t>1744/QĐ-UBND ngày 06/7/2018; 1745/QĐ-UBND ngày 06/7/2018</t>
  </si>
  <si>
    <t>Dự án cải thiện cơ sở hạ tầng nhằm phát triển nông nghiệp tại tỉnh Lâm Đồng từ nguồn vốn vay ODA của chính phủ Nhật Bản</t>
  </si>
  <si>
    <t>2018-2028</t>
  </si>
  <si>
    <t>Các xã tỉnh Lâm Đồng</t>
  </si>
  <si>
    <t>124/QĐ-TTg ngày 25/01/2018; 555/QĐ-TTg ngày 07/4/2021; 272/QĐ-TTg ngày 02/4/2024; 1292/QĐ-UBND ngày 19/5/2021; 2787/QĐ-UBND ngày 16/11/2021; 1793/QĐ-UBND ngày 04/10/2022; 993/QĐ-UBND ngày 10/6/2024</t>
  </si>
  <si>
    <t>MÔI TRƯỜNG</t>
  </si>
  <si>
    <t>Dự án khởi công mới năm 2026</t>
  </si>
  <si>
    <t>Cải thiện môi trường đô thị các thành phố loại 2 - Hợp phần tỉnh Đăk Nông</t>
  </si>
  <si>
    <t>2026-2028</t>
  </si>
  <si>
    <t>405/QĐ-UBND ngày 21/3/2025</t>
  </si>
  <si>
    <t>Thực hiện 15 tiểu dự án: xây dựng, giao thông, thủy lợi</t>
  </si>
  <si>
    <t>Khoảng 05 km</t>
  </si>
  <si>
    <t>Dài 707m</t>
  </si>
  <si>
    <t>Dài 2,451 km</t>
  </si>
  <si>
    <t>Xây dựng hệ thống xử lý nước thải</t>
  </si>
  <si>
    <t>Thành phố Gia Nghĩa</t>
  </si>
  <si>
    <t>Xây dựng cơ sở hạ tầng khu công nghiệp</t>
  </si>
  <si>
    <t>Cầu và đường dẫn 2 bên cầu</t>
  </si>
  <si>
    <t>02 hợp phần</t>
  </si>
  <si>
    <t>Hồ điều tiết dung tích toàn bộ 51,21 triệu m3</t>
  </si>
  <si>
    <t>Nâng cấp 04 hồ chứa</t>
  </si>
  <si>
    <t>Khoảng 47,59 km</t>
  </si>
  <si>
    <t>Huyện Đắk R'Lấp và thành phố Gia Nghĩa</t>
  </si>
  <si>
    <t>Hòn Lan - Tân Hải</t>
  </si>
  <si>
    <t>CHO TỪNG CƠ QUAN, TỔ CHỨC THEO LĨNH VỰC NĂM 2026</t>
  </si>
  <si>
    <t>GIÁO DỤC - ĐÀO TẠO VÀ DẠY NGHỀ</t>
  </si>
  <si>
    <t>Dự án chuyển tiếp từ giai đoạn 2021-2025 sang giai đoạn 2026-2030</t>
  </si>
  <si>
    <t xml:space="preserve">Xây mới một số hạng mục công trình Trường trung học cơ sở  Hàm Thắng, huyện Hàm Thuận Bắc </t>
  </si>
  <si>
    <t>073</t>
  </si>
  <si>
    <t>Nhóm C</t>
  </si>
  <si>
    <t>2024-2025</t>
  </si>
  <si>
    <t>2549/QĐ-UBND, ngày 07/12/2023</t>
  </si>
  <si>
    <t>Xây dựng mới, sửa chữa, cải tạo một số hạng mục công trình Trường trung học cơ sở Ma Lâm, huyện Hàm Thuận Bắc</t>
  </si>
  <si>
    <t>135/QĐ-UBND ngày 22/01/2024; 389/QĐ-SKHĐT ngày 19/11/2024</t>
  </si>
  <si>
    <t>Xây dựng mới, sửa chữa, cải tạo một số hạng mục công trình Trường tiểu học Thuận Minh 1, xã Thuận Minh, huyện Hàm Thuận Bắc</t>
  </si>
  <si>
    <t>072</t>
  </si>
  <si>
    <t>2423/QĐ-UBND ngày 16/11/2023; 400/QĐ-SKHĐT ngày 26/11/2024</t>
  </si>
  <si>
    <t>Nâng cấp, sửa chữa, cải tạo một số hạng mục công trình Trường THPT Hàm Thuận Bắc, huyện Hàm Thuận Bắc</t>
  </si>
  <si>
    <t>279/QĐ-SKHĐT ngày 01/10/2024</t>
  </si>
  <si>
    <t>Xây dựng mới, sửa chữa, cải tạo một số hạng mục công trình trường trung học phổ thông Nguyễn Văn Linh, huyện Hàm Thuận Bắc</t>
  </si>
  <si>
    <t>Nhóm B</t>
  </si>
  <si>
    <t>205/QĐ-UBND ngày 04/02/2025</t>
  </si>
  <si>
    <t>Xây mới, sửa chữa, cải tạo một số hạng mục công trình Trường Phổ thông Dân tộc nội trú tỉnh</t>
  </si>
  <si>
    <t>98/NQ-HĐND ngày 13/11/2024; 867/QĐ-UBND ngày 13/5/2025</t>
  </si>
  <si>
    <t>Ban quản lý dự án ĐTXD khu vực Hàm Thuận Bắc</t>
  </si>
  <si>
    <t>Xã Hàm Thuận</t>
  </si>
  <si>
    <t>Ban quản lý dự án ĐTXD khu vực Phan Thiết</t>
  </si>
  <si>
    <t>2</t>
  </si>
  <si>
    <t>Trường Tiểu học Thiện Nghiệp 1 (giai đoạn 3)</t>
  </si>
  <si>
    <t>Phường Mũi Né</t>
  </si>
  <si>
    <t>2025-2026</t>
  </si>
  <si>
    <t>3655/QĐ-UBND ngày 14/5/2025</t>
  </si>
  <si>
    <t>Trường Mầm non Thanh Hải</t>
  </si>
  <si>
    <t>071</t>
  </si>
  <si>
    <t>Phường Phú Thuỷ</t>
  </si>
  <si>
    <t>2584/QĐ-UBND ngày 3/4/2025</t>
  </si>
  <si>
    <t>Trường Tiểu học Thanh Hải</t>
  </si>
  <si>
    <t>2585/QĐ-UBND ngày 03/4/2025</t>
  </si>
  <si>
    <t>Trường Mầm non Phú Tài</t>
  </si>
  <si>
    <t>7875273</t>
  </si>
  <si>
    <t>Phường Bình Thuận</t>
  </si>
  <si>
    <t>3518/QĐ-UBND ngày 24/6/2024</t>
  </si>
  <si>
    <t>Trường THCS Nguyễn Đình Chiểu</t>
  </si>
  <si>
    <t>7873003</t>
  </si>
  <si>
    <t>Phường Tiến Thành</t>
  </si>
  <si>
    <t>1453/QĐ-UBND ngày 28/3/2024</t>
  </si>
  <si>
    <t>Trường Mẫu giáo Phú Thủy</t>
  </si>
  <si>
    <t>7871716</t>
  </si>
  <si>
    <t>1454/QĐ-UBND ngày 28/3/2024</t>
  </si>
  <si>
    <t>Sửa chữa các trường học trên địa bàn thành phố năm 2022-2024</t>
  </si>
  <si>
    <t>Các phường trên địa bàn thành phố Phan Thiết (cũ)</t>
  </si>
  <si>
    <t>314/QĐ-UBND ngày 24/01/2024; 5762/QĐ-UBND ngày 21/10/2024</t>
  </si>
  <si>
    <t>Xây dựng mới, sửa chữa, cải tạo một số hạng mục công trình Trường trung học phổ thông Phan Chu Trinh, thành phố Phan Thiết.</t>
  </si>
  <si>
    <t>074</t>
  </si>
  <si>
    <t>295/QĐ-SKHĐT ngày 04/10/2024</t>
  </si>
  <si>
    <t>Xây dựng mới, sửa chữa, cải tạo một số hạng mục công trình Trường THPT Phan Bội Châu, thành phố Phan Thiết</t>
  </si>
  <si>
    <t>8054822</t>
  </si>
  <si>
    <t>Ban quản lý dự án ĐTXD khu vực Tuy Phong</t>
  </si>
  <si>
    <t>Ban quản lý dự án ĐTXD đặc khu Phú Quý</t>
  </si>
  <si>
    <t>Đặc khu Phú Quý</t>
  </si>
  <si>
    <t>Ban quản lý dự án ĐTXD khu vực La Gi</t>
  </si>
  <si>
    <t>Trường Trung học cơ sở Tân Thiện, thị xã La Gi</t>
  </si>
  <si>
    <t>Phường Phước Hội</t>
  </si>
  <si>
    <t>2024-2027</t>
  </si>
  <si>
    <t>396/QĐ-SKHĐT ngày 22/11/2024</t>
  </si>
  <si>
    <t>Xây dựng mới và nâng cấp Trường Mầm non Hoa Hồng, thị xã La Gi</t>
  </si>
  <si>
    <t>Phường La Gi</t>
  </si>
  <si>
    <t>2024-2026</t>
  </si>
  <si>
    <t>141/QĐ-SKHĐT ngày 08/7/2024</t>
  </si>
  <si>
    <t>Y TẾ, DÂN SỐ VÀ GIA ĐÌNH</t>
  </si>
  <si>
    <t>Ban quản lý dự án ĐTXD số 2</t>
  </si>
  <si>
    <t>Bố trí thanh quyết toán</t>
  </si>
  <si>
    <t>Mở rộng Trung tâm Y tế huyện Đức Linh</t>
  </si>
  <si>
    <t>132</t>
  </si>
  <si>
    <t>Xã Đức Linh</t>
  </si>
  <si>
    <t>2195/QĐ-UBND ngày 31/8/2021</t>
  </si>
  <si>
    <t>517/QĐ-UBND ngày 22/12/2023</t>
  </si>
  <si>
    <t>Mở rộng Trung tâm Y tế huyện Bắc Bình</t>
  </si>
  <si>
    <t>320/QĐ-SKHĐT ngày 15/10/2024</t>
  </si>
  <si>
    <t xml:space="preserve">Cải tạo, sửa chữa các hạng mục công trình xuống cấp của Bệnh viện Đa Khoa tỉnh </t>
  </si>
  <si>
    <t> 2025-2026</t>
  </si>
  <si>
    <t> 160/QĐ-UBND ngày 23/01/2025</t>
  </si>
  <si>
    <t>Cải tạo, sửa chữa nâng cấp Khoa Truyền nhiễm của Bệnh viện đa khoa tỉnh</t>
  </si>
  <si>
    <t>884/QĐ-STC ngày 29/6/2025</t>
  </si>
  <si>
    <t>Sửa chữa Bệnh viện Phổi tỉnh Bình Thuận</t>
  </si>
  <si>
    <t>tại Bệnh viện Phổi Bình Thuận</t>
  </si>
  <si>
    <t>886/QĐ-STC ngày 29/6/2025</t>
  </si>
  <si>
    <t>Khu văn hóa, vui chơi và giải trí huyện Tuy Phong</t>
  </si>
  <si>
    <t>Xã Liên Hương</t>
  </si>
  <si>
    <t>9231m2</t>
  </si>
  <si>
    <t>151/QĐ-SKHĐT ngày 11/7/2024</t>
  </si>
  <si>
    <t>Ban Quản lý dự án ĐTXD khu vực La Gi</t>
  </si>
  <si>
    <t>Công viên Nguyễn Huệ (Giai đoạn 2), thị xã La Gi</t>
  </si>
  <si>
    <t>312</t>
  </si>
  <si>
    <t>2025 - 2027</t>
  </si>
  <si>
    <t>421/QĐ-SKHĐT ngày 29/11/2024</t>
  </si>
  <si>
    <t xml:space="preserve"> BẢO VỆ MÔI TRƯỜNG</t>
  </si>
  <si>
    <t>Phan Thiết</t>
  </si>
  <si>
    <t>Hồ chứa nước Ka Pét, huyện Hàm Thuận Nam</t>
  </si>
  <si>
    <t>7657516</t>
  </si>
  <si>
    <t>Hoàn chỉnh khu tưới hệ thống thủy lợi Tà Pao, tỉnh Bình Thuận</t>
  </si>
  <si>
    <t>7916812</t>
  </si>
  <si>
    <t>1084/QĐ-UBND ngày 09/6/2023</t>
  </si>
  <si>
    <t>Ban quản lý dự án ĐTXD khu vực Hàm Thuận Nam</t>
  </si>
  <si>
    <t>Trạm bơm vượt cấp tại xã Mê Pu</t>
  </si>
  <si>
    <t xml:space="preserve">Xã Nam Thành </t>
  </si>
  <si>
    <t>507QĐ-/SKHĐT,
 13/12/2022</t>
  </si>
  <si>
    <t>Xử lý nước thải tập trung khu du lịch quốc gia Mũi Né, thành phố Phan Thiết</t>
  </si>
  <si>
    <t xml:space="preserve"> 2025- 2026</t>
  </si>
  <si>
    <t>1500/QĐ-UBND ngày 12/8/2024</t>
  </si>
  <si>
    <t>Kè sông Cà Ty (đoạn từ cầu Dục Thanh đến đường Ung Văn Khiêm), thành phố Phan Thiết</t>
  </si>
  <si>
    <t>2026-2030</t>
  </si>
  <si>
    <t>Kè bảo vệ bờ biển xã Bình Thạnh, huyện Tuy Phong (giai đoạn 2)</t>
  </si>
  <si>
    <t>483m</t>
  </si>
  <si>
    <t>403/QĐ-SKHĐT ngày 26/11/2024</t>
  </si>
  <si>
    <t>Tuyến Kè Sông Bình Lợi (đọan từ cầu ké đến tiếp giáp với kè hiện hữu, thành phố Phan Thiết</t>
  </si>
  <si>
    <t>Thành phố Phan Thiết (cũ)</t>
  </si>
  <si>
    <t>2981/QĐ-UBND ngày 02/12/2020</t>
  </si>
  <si>
    <t>Tuyến đường số 2 nối đường ĐT706 và đường ĐT706 B</t>
  </si>
  <si>
    <t>Phường Phú Thủy</t>
  </si>
  <si>
    <t>319/QĐ-SKHĐT ngày 15/10/2024</t>
  </si>
  <si>
    <t>VII</t>
  </si>
  <si>
    <t>2025-2029</t>
  </si>
  <si>
    <t>SỰ NGHIỆP KINH TẾ VÀ DỊCH VỤ KHÁC</t>
  </si>
  <si>
    <t>VIII</t>
  </si>
  <si>
    <t>Nâng cấp, cải tạo đường Nguyễn Trãi và đường Nguyễn Minh Châu (đoạn từ Km1+438 đến Km4+228), thị trấn Thuận Nam, huyện Hàm Thuận Nam</t>
  </si>
  <si>
    <t>7927955</t>
  </si>
  <si>
    <t>Xã Hàm Thuận Nam</t>
  </si>
  <si>
    <t>485/QĐ-SKHĐT ngày 06/12/2023</t>
  </si>
  <si>
    <t>Kiên cố hóa tuyến đường từ Quốc lộ 1 (Km1723+000) đi thôn Phú Thọ, xã Hàm Cường, huyện Hàm Thuận Nam</t>
  </si>
  <si>
    <t>8030085</t>
  </si>
  <si>
    <t>292</t>
  </si>
  <si>
    <t>Xã Hàm Kiệm</t>
  </si>
  <si>
    <t>367/QĐ-SKHĐT ngày 06/10/2023</t>
  </si>
  <si>
    <t>Hệ thống thoát lũ trung tâm huyện Hàm Thuận Nam (Hệ thống thoát nước trung tâm huyện Hàm Thuận Nam)</t>
  </si>
  <si>
    <t>7555386</t>
  </si>
  <si>
    <t>283</t>
  </si>
  <si>
    <t>278/QĐ-SKHĐT ngày 03/08/2022; 239/QĐ-SKHĐT ngày 06/09/2024</t>
  </si>
  <si>
    <t>Ban quản lý dự án ĐTXD khu vực Đức Linh</t>
  </si>
  <si>
    <t>IX</t>
  </si>
  <si>
    <t>Nâng cấp Đường Đông Hà - Gia Huynh</t>
  </si>
  <si>
    <t>Xã Trà Tân</t>
  </si>
  <si>
    <t>111/QĐ-SKHĐT, 16/4/2021</t>
  </si>
  <si>
    <t>Nâng cấp, mở rộng đường Z30A, xã Đông Hà, huyện Đức Linh</t>
  </si>
  <si>
    <t>142/QĐ-SKHĐT,
 08/7/2024</t>
  </si>
  <si>
    <t>Đường vào Cụm công nghiệp Ma Lâm (giai đoạn 1)</t>
  </si>
  <si>
    <t>2587/QĐ-UBND ngày 30/5/2025</t>
  </si>
  <si>
    <t>Đường từ trung tâm huyện Hàm Thuận Bắc đi Quốc lộ 1, huyện Hàm Thuận Bắc</t>
  </si>
  <si>
    <t>48/NQ-HĐND, ngày 17/8/2023</t>
  </si>
  <si>
    <t>Sửa chữa, nâng cấp đường vào khu di tích Căn cứ Tỉnh ủy (đoạn từ đường ĐT.714 vào đến bìa rừng Khu di tích)</t>
  </si>
  <si>
    <t>1370/QĐ-UBND ngày 27/6/2025; 493/QĐ-SXD ngày 04/11/2025</t>
  </si>
  <si>
    <t>Sửa chữa, nâng cấp đường từ Km14 (QL28) đi Trũng Liêm, huyện Hàm Thuận Bắc</t>
  </si>
  <si>
    <t>1369/QĐ-UBND ngày 27/6/2025; 492/QĐ-SXD ngày 04/11/2025</t>
  </si>
  <si>
    <t>X</t>
  </si>
  <si>
    <t>Nâng cấp đường từ trung tâm xã Thiện Nghiệp đi khu phố 1, phường Hàm Tiến</t>
  </si>
  <si>
    <t>7875766</t>
  </si>
  <si>
    <t>5667QĐ-UBND ngày 12/10/2022</t>
  </si>
  <si>
    <t>Lát vỉa hè các tuyến đường trên địa bàn thành phố (Giai đoạn 2)</t>
  </si>
  <si>
    <t>8081031</t>
  </si>
  <si>
    <t xml:space="preserve">Phường Bình Thuận, phường Phú Thủy, phường Phan Thiết, </t>
  </si>
  <si>
    <t>Nâng cấp đường Trần Quý Cáp</t>
  </si>
  <si>
    <t>7875762</t>
  </si>
  <si>
    <t>Phường Tiến Thành và xã Tuyên Quang</t>
  </si>
  <si>
    <t>6367/QĐ-UBND ngày 05/12/2023; 4852/QĐ-UBND ngày 27/6/2025</t>
  </si>
  <si>
    <t>Dự án Chỉnh trang đô thị thành phố</t>
  </si>
  <si>
    <t>8081030</t>
  </si>
  <si>
    <t>Phường Bình Thuận, phường Mũi Né, phường Phan Thiết</t>
  </si>
  <si>
    <t>7074/QĐ-UBND ngày 16/12/2024</t>
  </si>
  <si>
    <t>Nâng cấp, sửa chữa cơ sở hạ tầng trên địa bàn phường Phú Tài và phường Xuân An</t>
  </si>
  <si>
    <t>Phường Bình Thuận và phường Hàm Thắng</t>
  </si>
  <si>
    <t>Nâng cấp đường Thủ Khoa Huân (đoạn từ đường Tôn Đức Thắng đến Cầu Ké), thành phố Phan Thiết</t>
  </si>
  <si>
    <t>8044540</t>
  </si>
  <si>
    <t>1627/QĐ-UBND ngày 30/8/2024</t>
  </si>
  <si>
    <t>Sửa chữa, nâng cấp đường Nguyễn Đình Chiểu và đường Huỳnh Thúc Kháng (đoạn từ Khu du lịch Hoàng Ngọc đến ngã 3 Làng Chài)</t>
  </si>
  <si>
    <t>2234/QĐ-UBND ngày 25/10/2023</t>
  </si>
  <si>
    <t>Sửa chữa, nâng cấp đường Hồ Giáo, xã Thiện Nghiệp</t>
  </si>
  <si>
    <t>6351/QĐ-UBND ngày 28/5/2024</t>
  </si>
  <si>
    <t>2025-2030</t>
  </si>
  <si>
    <t>Nâng cấp đường giao thông từ Quốc lộ 1 đi cầu Hầm Đá và xóm 7, xã Vĩnh Tân, huyện Tuy Phong</t>
  </si>
  <si>
    <t>Xã Vĩnh Hảo</t>
  </si>
  <si>
    <t>2600m</t>
  </si>
  <si>
    <t>419/QĐ-SKHĐT ngày 06/11/2023</t>
  </si>
  <si>
    <t>Đường và cầu liên xã Vĩnh Hảo - Vĩnh Tân (Từ xóm 8 xã Vĩnh Hảo đến Khu dân cư Động Từ Bi, xã Vĩnh Tân), huyện Tuy Phong</t>
  </si>
  <si>
    <t>883,82m</t>
  </si>
  <si>
    <t>147/QĐ-SKHĐT ngày 09/7/2024</t>
  </si>
  <si>
    <t>Nâng cấp đường giao thông N4 và D9.1, thị trấn Liên Hương, huyện Tuy Phong</t>
  </si>
  <si>
    <t>1759,38m</t>
  </si>
  <si>
    <t>168/QĐ-SKHĐT ngày 18/7/2024</t>
  </si>
  <si>
    <t>Nhựa hóa tuyến đường Khu phố Phú Hòa, Phú Tân, Phú Hải, thị trấn Phan Rí Cửa, huyện Tuy Phong</t>
  </si>
  <si>
    <t>Xã Phan Rí Cửa</t>
  </si>
  <si>
    <t>1737,18m</t>
  </si>
  <si>
    <t>1429/QĐ-UBND ngày 04/5/2024</t>
  </si>
  <si>
    <t>Đường phía Đông UBND xã Long Hải nối hồ chứa nước số 2 đến đường Lê Hồng Phong ra biển, huyện Phú Quý</t>
  </si>
  <si>
    <t>2022-2024</t>
  </si>
  <si>
    <t>1184/QĐ-UBND
 ngày 17/5/2021; ĐC tại QĐ 1365/QĐ-UBND ngày 27/6/2025</t>
  </si>
  <si>
    <t>Đường từ miếu công chúa Bàn Tranh đến đường Tôn Đức Thắng, xã Long Hải, huyện Phú Quý</t>
  </si>
  <si>
    <t>02/QĐ-SKHĐT
 ngày 04/01/2022</t>
  </si>
  <si>
    <t>XI</t>
  </si>
  <si>
    <t>XII</t>
  </si>
  <si>
    <t>XIII</t>
  </si>
  <si>
    <t>CẤP, THOÁT NƯỚC</t>
  </si>
  <si>
    <t>Nâng cấp, mở rộng hệ thống thoát nước thị trấn Liên Hương và Phan Rí Cửa, huyện Tuy Phong</t>
  </si>
  <si>
    <t>Các xã: Liên Hương và Phan Rí Cửa</t>
  </si>
  <si>
    <t>3034m</t>
  </si>
  <si>
    <t>10/QĐ-SKHĐT ngày 18/01/2024</t>
  </si>
  <si>
    <t>Hạ tầng kỹ thuật Khu dân cư mở rộng Tuy Phong, xã Phú Lạc (giai đoạn 2)</t>
  </si>
  <si>
    <t>48557,94m2</t>
  </si>
  <si>
    <t xml:space="preserve">  3721/QĐ-UBND ngày 18/10/2024</t>
  </si>
  <si>
    <t>Công viên cây xanh khu phố 14 thị trấn Liên Hương, huyện Tuy Phong</t>
  </si>
  <si>
    <t>2,34ha</t>
  </si>
  <si>
    <t>4181/QĐ-UBND ngày 04/11/2024 và 771/QĐ-UBND ngày 06/3/2025</t>
  </si>
  <si>
    <t>HOẠT ĐỘNG CỦA CƠ QUAN QLNN, ĐẢNG, ĐOÀN THỂ</t>
  </si>
  <si>
    <t>Nhà làm việc Trung tâm Quan trắc tài nguyên và Môi trường Bình Thuận</t>
  </si>
  <si>
    <t> Khu dân cư Bắc Xuân An</t>
  </si>
  <si>
    <t> 447/QĐ-SKHĐT ngày 20/12/2024</t>
  </si>
  <si>
    <t>Sửa chữa Trụ sở làm việc Sở Tài nguyên và Môi trường</t>
  </si>
  <si>
    <t>430/QĐ-SKHĐT ngày 10/11/2023</t>
  </si>
  <si>
    <t>Xây dựng mới cổng phụ, sửa chữa nhà để xe, sân đường - cây xanh Trụ sở Tỉnh ủy</t>
  </si>
  <si>
    <t>Phường Phan Thiết</t>
  </si>
  <si>
    <t>145/QĐ-SKHĐT ngày 09/7/2024; 543/QĐ-STC ngày 03/6/2025</t>
  </si>
  <si>
    <t>Khối nhà làm việc Văn phòng Tỉnh ủy và chỉnh trang một số hạng mục Trụ sở Tỉnh ủy</t>
  </si>
  <si>
    <t> 1420/QĐ-UBND ngày 24/7/2024</t>
  </si>
  <si>
    <t>Xã Đông Giang</t>
  </si>
  <si>
    <t>Đầu tư hệ thống phòng cháy chữa cháy và sửa chữa một số công trình Nhà làm việc Thành uỷ</t>
  </si>
  <si>
    <t>Phường Phan Thiêt</t>
  </si>
  <si>
    <t>5246/QĐ-UBND ngày 27/9/2024; 4357/QĐ-UBND ngày 9/6/2025</t>
  </si>
  <si>
    <t>Hội trường UBND huyện Tuy Phong</t>
  </si>
  <si>
    <t>1077,56m2</t>
  </si>
  <si>
    <t>148/QĐ-SKHĐT ngày 10/7/2024</t>
  </si>
  <si>
    <t>Chỉnh trang cụm công viên tháp nước, thành phố Phan Thiết</t>
  </si>
  <si>
    <t>7894249</t>
  </si>
  <si>
    <t>201/QĐ-SKHĐT ngày 29/6/2023; 124/QĐ-STC ngày 19/3/2025</t>
  </si>
  <si>
    <t>Dự án khu dân cư phía nam đường Lê Duẩn (đoạn quốc lộ 1 đến đường Võ Văn Tần), thành phố Phan Thiết</t>
  </si>
  <si>
    <t>7950815</t>
  </si>
  <si>
    <t>2026-2027</t>
  </si>
  <si>
    <t>Sửa chữa, cải tạo Kè bảo vệ bờ biển Đồi Dương - Thương Chánh (đoạn kè dọc theo công viên Thương Chánh), thành phố Phan Thiết</t>
  </si>
  <si>
    <t>8065118</t>
  </si>
  <si>
    <t xml:space="preserve">Làm mới đường trục ven biển ĐT719B đoạn Phan Thiết - Kê Gà </t>
  </si>
  <si>
    <t>Xã Tuyên Quang; Phường Tiến Thành; Xã Tân Thành</t>
  </si>
  <si>
    <t>25,55 km</t>
  </si>
  <si>
    <t>2801/QĐ-UBND ngày 29/12/2023</t>
  </si>
  <si>
    <t>Đường Hàm Kiệm đi Tiến Thành (đoạn từ Quốc lộ 1 đến đường ĐT.719B)</t>
  </si>
  <si>
    <t>Xã Hàm Kiệm; Phường Tiến Thành</t>
  </si>
  <si>
    <t>7,77 Km</t>
  </si>
  <si>
    <t>2020-2026</t>
  </si>
  <si>
    <t>1409/QĐ-UBND ngày 19/6/2020</t>
  </si>
  <si>
    <t>Dự án chuyển tiếp giai đoạn 2021- 2022 sang giai đoạn 2026- 2030</t>
  </si>
  <si>
    <t>Hệ thống giao thông đô thị thị trấn Lương Sơn, huyện Bắc Bình</t>
  </si>
  <si>
    <t>Ban quản lý dự án ĐTXD khu vực Bắc Bình</t>
  </si>
  <si>
    <t>Trường Mẫu giáo Bình Tân, huyện Bắc Bình</t>
  </si>
  <si>
    <t>0 71</t>
  </si>
  <si>
    <t>Nhà 02 tầng, DTXD 1.660,17 m2</t>
  </si>
  <si>
    <t>2024- 2025</t>
  </si>
  <si>
    <t>Nhà Văn hoá xã Bình Tân, huyện Bắc Bình</t>
  </si>
  <si>
    <t>Nhà trệt, DTXD  317m2</t>
  </si>
  <si>
    <t>Số 293/QĐ-SKHĐT ngày 03/10/2024</t>
  </si>
  <si>
    <t>Chung cư sông Cà Ty, thành phố Phan Thiết</t>
  </si>
  <si>
    <t>2268/QĐ-UBND ngày 27/10/2023</t>
  </si>
  <si>
    <t>Dự  án Hạ tầng kỹ thuật Khu nhà ở xã hội tại xã Tiến Lợi, thành phố Phan Thiết</t>
  </si>
  <si>
    <t>Xã Tuyên Quang</t>
  </si>
  <si>
    <t>2021-2023</t>
  </si>
  <si>
    <t>147/QĐ-SKHĐT ngày 10/5/2021</t>
  </si>
  <si>
    <t>Gia cố kênh Thoát lũ đoạn từ ngã ba sông Bến Lội đến hết Khu dân cư Hùng Vương II, giai đoạn 2A</t>
  </si>
  <si>
    <t>2021-2024</t>
  </si>
  <si>
    <t>530/QĐ-SKHĐT ngày 21/9/2021</t>
  </si>
  <si>
    <t>XIV</t>
  </si>
  <si>
    <t>1601/QĐ-UBND  ngày 27/8/2024</t>
  </si>
  <si>
    <t>290/QĐ-SKHĐT  ngày 03/10/2024</t>
  </si>
  <si>
    <t>288/QĐ-SKHĐT ngày 03/10/2024</t>
  </si>
  <si>
    <t>267/QĐ-SKHĐT ngày 25/9/2024</t>
  </si>
  <si>
    <t>119/QĐ-SKHĐT ngày 20/4/2021</t>
  </si>
  <si>
    <t>6953/QĐ-UBND ngày10/12/2024</t>
  </si>
  <si>
    <t>6055/QĐ-UBND ngày 7/11/2024</t>
  </si>
  <si>
    <t>Ban quản lý dự án ĐTXD khu vực Tánh Linh</t>
  </si>
  <si>
    <t>Xã Nghị Đức</t>
  </si>
  <si>
    <t xml:space="preserve">Cải tạo kênh tiêu Suối Chùa (T4-2), huyện Tánh Linh </t>
  </si>
  <si>
    <t>Xã Nghi Đức</t>
  </si>
  <si>
    <t>2023 - 2025</t>
  </si>
  <si>
    <t xml:space="preserve">314/QĐ-SKHĐT, 6/9/2023 </t>
  </si>
  <si>
    <t>Ban quản lý dự án ĐTXD khu vực Hàm Tân</t>
  </si>
  <si>
    <t>XV</t>
  </si>
  <si>
    <t>463/QĐ-SKHĐT ngày 11/11/2022</t>
  </si>
  <si>
    <t>Xã Sơn Mỹ</t>
  </si>
  <si>
    <t>309</t>
  </si>
  <si>
    <t>7966513</t>
  </si>
  <si>
    <t>Hạ tầng kỹ thuật Khu tái định cư Sơn Mỹ (Giai đoạn 1), huyện Hàm Tân</t>
  </si>
  <si>
    <t>3032/QĐ-UBND ngày 08/11/2021</t>
  </si>
  <si>
    <t>Xã Hàm Tân</t>
  </si>
  <si>
    <t>Đường D9, thị trấn Tân Nghĩa, huyện Hàm Tân</t>
  </si>
  <si>
    <t>Thị trấn Chợ Lầu, huyện Bắc Bình (cũ)</t>
  </si>
  <si>
    <t>b</t>
  </si>
  <si>
    <t>12,05 Km</t>
  </si>
  <si>
    <t>Nghị quyết số 37/NQ-HĐND ngày 24/6/2025</t>
  </si>
  <si>
    <t>Phường Hàm Thắng</t>
  </si>
  <si>
    <t>Trường Mầm non Ngũ Phụng (Khối 06 phòng học tại điểm trường Thương Châu), huyện Phú Quý</t>
  </si>
  <si>
    <t>2023-
2024</t>
  </si>
  <si>
    <t>434/QĐ-SKHĐT ngày 17/10/2022; ĐC tại QĐ 358/QĐ-SKHĐT ngày 29/9/2023</t>
  </si>
  <si>
    <t>Nâng cấp, sửa chữa và xây mới nhà vệ sinh học sinh và giáo viên các Trường tiểu học trên địa bàn huyện Phú Quý</t>
  </si>
  <si>
    <t>8084696</t>
  </si>
  <si>
    <t>2024-
2025</t>
  </si>
  <si>
    <t>932/QĐ-UBND ngày 10/7/2024</t>
  </si>
  <si>
    <t>Nâng cấp, sửa chữa và xây mới nhà vệ sinh học sinh và giáo viên các Trường THCS trên địa bàn huyện Phú Quý</t>
  </si>
  <si>
    <t>8084695</t>
  </si>
  <si>
    <t>975/QĐ-UBND ngày 18/7/2024</t>
  </si>
  <si>
    <t>Đường nối từ đường 27/4 đến chợ xã Tam Thanh</t>
  </si>
  <si>
    <t xml:space="preserve"> 1074/QĐ-UBND ngày 12/7/2021; ĐC tại QĐ 1873/QĐ-UBND ngày 04/12/2024</t>
  </si>
  <si>
    <t>Đường Lý Tự Trọng</t>
  </si>
  <si>
    <t xml:space="preserve"> 1537/QĐ-UBND
ngày 23/10/2023; ĐC tại QĐ 856/QĐ-UBND ngày 26/5/2025</t>
  </si>
  <si>
    <t>Sửa chữa, nâng cấp các Trạm y tế xã trên địa bàn huyện Phú Quý</t>
  </si>
  <si>
    <t>2025</t>
  </si>
  <si>
    <t>683/QĐ-UBND
 ngày 14/5/2025</t>
  </si>
  <si>
    <t>Xử lý ngập úng và thoát nước các khu dân cư huyện Phú Quý</t>
  </si>
  <si>
    <t>7959407</t>
  </si>
  <si>
    <t>311</t>
  </si>
  <si>
    <t>509/QĐ-SKHĐT 
ngày 14/12/2023</t>
  </si>
  <si>
    <t>AN NINH VÀ TRẬT TỰ AN TOÀN XÃ HỘI</t>
  </si>
  <si>
    <t>Trụ sở làm việc Công an xã Tam Thanh, huyện Phú Quý</t>
  </si>
  <si>
    <t>8082700</t>
  </si>
  <si>
    <t>041</t>
  </si>
  <si>
    <t>Đặc khu
 Phú Quý</t>
  </si>
  <si>
    <t>1014/QĐ-UBND 
ngày 22/7/2024</t>
  </si>
  <si>
    <t>Trụ sở làm việc Công an xã Ngũ Phụng, huyện Phú Quý</t>
  </si>
  <si>
    <t>1606/QĐ-UBND
 ngày 17/10/2024; ĐC tại QĐ 536/QĐ-UBND ngày 10/4/2025</t>
  </si>
  <si>
    <t>Xã Lương Sơn</t>
  </si>
  <si>
    <t>Xã Sông Luỹ</t>
  </si>
  <si>
    <t>+</t>
  </si>
  <si>
    <t>Ban QLRPH Đức Trọng</t>
  </si>
  <si>
    <t>Dự án trồng rừng trên đất lâm nghiệp thuộc kế hoạch 50 triệu cây xanh</t>
  </si>
  <si>
    <t xml:space="preserve">Trồng rừng trên đất trống năm 2025 và chăm sóc rừng trồng các năm </t>
  </si>
  <si>
    <t>8160515</t>
  </si>
  <si>
    <t>24/QĐ-BQLR ngày 23/5/2025</t>
  </si>
  <si>
    <t xml:space="preserve">Trồng rừng trên đất trống 2024 và chăm sóc các năm </t>
  </si>
  <si>
    <t>8087846</t>
  </si>
  <si>
    <t>Xã Ninh Gia</t>
  </si>
  <si>
    <t>1809/QĐ-UBND ngày 21/9/2023</t>
  </si>
  <si>
    <t xml:space="preserve">Trồng rừng trên đất trống diện tích dưới 0,3 ha năm 2024 và chăm sóc các năm </t>
  </si>
  <si>
    <t>8087847</t>
  </si>
  <si>
    <t>Xã Ninh Gia, xã Tà Hine</t>
  </si>
  <si>
    <t xml:space="preserve">Công ty TNHH MTV lâm nghiệp Lộc Bắc </t>
  </si>
  <si>
    <t>Trồng rừng trên đất trống năm 2024 và chăm sóc các năm</t>
  </si>
  <si>
    <t>8048906</t>
  </si>
  <si>
    <t>Xã Bảo lâm 5</t>
  </si>
  <si>
    <t>Trồng rừng làm giải phân cách xanh năm 2024 và chăm sóc các năm</t>
  </si>
  <si>
    <t>8048905</t>
  </si>
  <si>
    <t>Công ty TNHH MTV lâm nghiệp Bảo Lâm</t>
  </si>
  <si>
    <t>Xã Bảo Lâm 4</t>
  </si>
  <si>
    <t xml:space="preserve">Trồng rừng trên đất trống diện tích dưới 0,3ha năm 2024 và chăm sóc các năm </t>
  </si>
  <si>
    <t xml:space="preserve">Trồng rừng trên đất trống năm 2025 và chăm sóc các năm (DT 21,5ha) </t>
  </si>
  <si>
    <t xml:space="preserve">Ban QLRPH Đam B'ri </t>
  </si>
  <si>
    <t>Công ty TNHH MTV lâm nghiệp Tam Hiệp</t>
  </si>
  <si>
    <t>Trồng rừng trên đất trống năm 2024 và chăm sóc rừng trồng các năm</t>
  </si>
  <si>
    <t>Xã Gia Hiệp</t>
  </si>
  <si>
    <t>Trồng rừng trên đất trống dưới 0,3 ha năm 2024 và chăm sóc rừng trồng các năm</t>
  </si>
  <si>
    <t>Trồng rừng làm giải phân cách xanh năm 2025 và chăm sóc các năm</t>
  </si>
  <si>
    <t>Trồng rừng trên đất trống năm 2025 và chăm sóc rừng trồng các năm</t>
  </si>
  <si>
    <t>Trồng rừng trên đất trống dưới 0,3 ha năm 2025 và chăm sóc rừng trồng các năm</t>
  </si>
  <si>
    <t>Ban QLRPH Đa Nhim</t>
  </si>
  <si>
    <t>Trồng rừng trên đất trống năm 2025 và chăm sóc rừng các năm (7,69ha)</t>
  </si>
  <si>
    <t>Lạc Dương</t>
  </si>
  <si>
    <t>2025 - 2029</t>
  </si>
  <si>
    <t>Quyết định số 1809/QĐ-UBND ngày 21/09/2023</t>
  </si>
  <si>
    <t>Công ty TNHH MTV lâm nghiệp Đơn Dương</t>
  </si>
  <si>
    <t xml:space="preserve">Trồng rừng trên đất trống năm 2024 và chăm sóc rừng trồng các năm </t>
  </si>
  <si>
    <t>8083617</t>
  </si>
  <si>
    <t>Xã Đơn Dương, Lâm Đồng</t>
  </si>
  <si>
    <t xml:space="preserve">Quyết định số 1809/QĐ-UBND ngày 21/09/2023 </t>
  </si>
  <si>
    <t>Ban QLRPH Lâm Hà</t>
  </si>
  <si>
    <t>Trồng rừng trên đất trống  năm 2024 (13,16ha)</t>
  </si>
  <si>
    <t>Trồng rừng trên đất trống có diện tích dưới 0,3ha trồng năm 2024 (9,88 ha)</t>
  </si>
  <si>
    <t>Ban QLRPH Sêrêpôk</t>
  </si>
  <si>
    <t>Trồng rừng trên đất trống năm 2024 và chăm sóc rừng các năm (13,4ha)</t>
  </si>
  <si>
    <t>Đam Rông 3</t>
  </si>
  <si>
    <t>Quyết định số 1809/QĐ -UBND ngày 21/09/2023</t>
  </si>
  <si>
    <t>Ban QLR PH Tân Thượng - Hòa Bắc</t>
  </si>
  <si>
    <t>Trồng rừng trên đất trống có diện tích dưới 0,3ha trồng năm 2025 (4,1ha)</t>
  </si>
  <si>
    <t>nhóm C</t>
  </si>
  <si>
    <t>1266/QĐ-UBND</t>
  </si>
  <si>
    <t>Trồng rừng sau giải tỏa năm 2023 và chăm sóc rừng trồng các năm</t>
  </si>
  <si>
    <t xml:space="preserve">Quyết định số 1658/QĐ-UBND ngày 25/8/2023 </t>
  </si>
  <si>
    <t>Trồng rừng sau giải tỏa năm 2025 và chăm sóc rừng trồng các năm</t>
  </si>
  <si>
    <t>Dự án trồng và chăm sóc rừng trồng sau giải tỏa trên địa bàn tỉnh Lâm Đồng giai đoạn 2023-2029</t>
  </si>
  <si>
    <t>Công ty TNHH MTV lâm nghiệp Đạ Tẻh</t>
  </si>
  <si>
    <t>Xã Đạ Tẻh 2</t>
  </si>
  <si>
    <t>2023-2027</t>
  </si>
  <si>
    <t xml:space="preserve">Quyết định số 1696/QĐ-UBND ngày 22/9/2022 </t>
  </si>
  <si>
    <t>Ban QLRPH Nam Huoai</t>
  </si>
  <si>
    <t>Xã Đạ Huoai 3 và xã Đạ Huoai 2</t>
  </si>
  <si>
    <t>Trồng rừng năm 2023 và chăm sóc các năm</t>
  </si>
  <si>
    <t>8057461</t>
  </si>
  <si>
    <t>Xã D'Ran; Xã Đơn Dương; Tỉnh Lâm Đồng</t>
  </si>
  <si>
    <t>Quyết định số 1658/QĐ-UBND ngày 25/08/2023</t>
  </si>
  <si>
    <t>1658/QĐ-UBND</t>
  </si>
  <si>
    <t>Trồng rừng sau giải tỏa năm 2024 và chăm sóc rừng trồng các năm</t>
  </si>
  <si>
    <t>Trồng rừng sau giải toả năm 2023 và chăm sóc rừng các năm (19,8ha)</t>
  </si>
  <si>
    <t>Đam Rông 4</t>
  </si>
  <si>
    <t>Quyết định số 1658/QĐ-UBND ngày 25/8/2023</t>
  </si>
  <si>
    <t>Ban quản lý rừng PH Lâm Viên</t>
  </si>
  <si>
    <t>Trồng rừng sau giai tỏa năm 2023 và chăm sóc các năm</t>
  </si>
  <si>
    <t>2023 - 2026</t>
  </si>
  <si>
    <t>Trồng rừng sau giải tỏa năm 2023 và chăm sóc rừng các năm (1,9ha)</t>
  </si>
  <si>
    <t>2023-20226</t>
  </si>
  <si>
    <t xml:space="preserve">Tăng cường khả năng chống chịu của nông nghiệp quy mô nhỏ với an ninh nguồn nước do biến đổi khí hậu khu vực Tây Nguyên và Nam Trung Bộ (SACCR)  Bình Thuận </t>
  </si>
  <si>
    <t>Xã Trà Tân, Tân Thành, Hàm Thuận Nam, Tân Lập, Hàm Thạnh-tỉnh Lâm Đồng</t>
  </si>
  <si>
    <t>QĐ 213/QĐ-SKHĐT ngày 24/5/2021; QĐ 117/QĐ-SKHĐT ngày 28/4/2022</t>
  </si>
  <si>
    <t>Sửa chữa công trình đầu mối hồ Đăk Lông Thượng, xã Lộc Ngãi, huyện Bảo Lâm</t>
  </si>
  <si>
    <t>373/QĐ-UBND ngày 24/02/2025</t>
  </si>
  <si>
    <t>Trung tâm Nước sạch và vệ sinh môi trường nông thôn tỉnh Lâm Đồng</t>
  </si>
  <si>
    <t>Nâng cấp mở rộng hệ thống nước sinh hoạt Thiện Nghiệp thành phố Phan Thiết</t>
  </si>
  <si>
    <t>7822730</t>
  </si>
  <si>
    <t>81/QĐ-SKHĐT ngày 22/3/2021</t>
  </si>
  <si>
    <t>Bổ sung nguồn nước thô nhà máy nước Long Hải, huyện Phú Quý.</t>
  </si>
  <si>
    <t>346/QĐ-SKHĐT ngày 06/07/2020</t>
  </si>
  <si>
    <t xml:space="preserve">Nâng cấp Hệ thống nước Măng Tố, huyện Tánh Linh.
</t>
  </si>
  <si>
    <t xml:space="preserve">2022-2024
</t>
  </si>
  <si>
    <t xml:space="preserve"> 407/QĐ-SKHĐT ngày 28/09/2022</t>
  </si>
  <si>
    <t>Mở rộng tuyến ống cấp Hệ thống nước xã Hàm Cường , huyện Hàm Thuận Nam</t>
  </si>
  <si>
    <t>452/QĐ- SKHĐT  ngày 02/11/ 2022</t>
  </si>
  <si>
    <t xml:space="preserve"> Mở rộng tuyến ống cấp nước và Trạm bơm tăng áp xã Hàm Cần, huyện Hàm Thuận Nam </t>
  </si>
  <si>
    <t>309/QĐ - SKHĐT ngày 09/10/2024</t>
  </si>
  <si>
    <t>Mở rộng tuyến ống cấp nước  xã Mê Pu, Sùng Nhơn và Đa Kai huyện Đức Linh</t>
  </si>
  <si>
    <t xml:space="preserve">Xã Bắc Ruộng
</t>
  </si>
  <si>
    <t xml:space="preserve"> 14/QĐ - SKHĐT ngày 10/01/2025</t>
  </si>
  <si>
    <t xml:space="preserve"> 28/QĐ - SKHĐT ngày 23/01/2025</t>
  </si>
  <si>
    <t>Nâng cấp hệ thống nước Tân Thắng và Mở rộng tuyến ống cấp nước Tân Thắng- Thắng Hải huyện Hàm Tân</t>
  </si>
  <si>
    <t>Nâng cấp hệ thống nước Phan Tiến xã Sông Lũy huyện Bắc Bình</t>
  </si>
  <si>
    <t>số 77/QĐ-SKHĐT ngày 19/03/2021</t>
  </si>
  <si>
    <t>Nâng cấp mở rộng hệ thống nước Phú Long, huyện Hàm Thuận Bắc</t>
  </si>
  <si>
    <t>2019-2020</t>
  </si>
  <si>
    <t>số 355/QĐ-SKHĐT ngày 30/10/2015</t>
  </si>
  <si>
    <t>Hệ thống nước Ba Bàu xã Hàm Thạnh huyện Hàm Thuận Nam</t>
  </si>
  <si>
    <t>2023-2024</t>
  </si>
  <si>
    <t>616/QĐ-UBND ngày 03/4/2023</t>
  </si>
  <si>
    <t>Hệ thống nước La Dạ, huyện Hàm Thuận Bắc</t>
  </si>
  <si>
    <t>594/QĐ-SKHĐT ngày 02/11/2020</t>
  </si>
  <si>
    <t>61 Cao Thắng phường Phan Thiết, tỉnh Lâm Đồng</t>
  </si>
  <si>
    <t>Số 41/QĐ-SKHĐT ngày 03/3/2023</t>
  </si>
  <si>
    <t>Dự án  mô hình xử lý Nitrat tại nhà máy nước Ngũ Phụng -Cụm cáp nước Phú Quý</t>
  </si>
  <si>
    <t>số  482/QĐ - SKHĐT ngày13/03/2025</t>
  </si>
  <si>
    <t>Sở Xây dựng</t>
  </si>
  <si>
    <t>Đầu tư lắp đặt đèn tín hiệu điều khiển giao thông tại các nút giao trên QL.20 đoạn qua địa bàn thành phố Bảo Lộc, huyện Di Linh và huyện Đức Trọng, tỉnh Lâm Đồng</t>
  </si>
  <si>
    <t>TP Bảo Lộc, huyện Di Linh, huyện Đức Trọng (cũ)</t>
  </si>
  <si>
    <t>04/QĐ-UBND ngày 02/01/2025</t>
  </si>
  <si>
    <t>Cải tạo, sửa chữa hệ thống cầu và đường của tỉnh</t>
  </si>
  <si>
    <t>Địa bàn tỉnh Bình Thuận (cũ)</t>
  </si>
  <si>
    <t>Sửa chữa hư hỏng nền, mặt đường</t>
  </si>
  <si>
    <t>302/QĐ-UBND
ngày 19/02/2025; 543/QĐ-UBND
ngày 24/3/2025</t>
  </si>
  <si>
    <t>Sở Văn hóa, Thể thao và Du lịch</t>
  </si>
  <si>
    <t>Tu bổ, tôn tạo di tích kiến trúc nghệ thuật nhóm đền tháp Chăm Pô Đam, huyện Tuy Phong</t>
  </si>
  <si>
    <t>2015-2020</t>
  </si>
  <si>
    <t>301/QĐ-SVHTTDL ngày 15/7/2015</t>
  </si>
  <si>
    <t>Tu bổ, tôn tạo di tích lịch sử văn hóa đình Lạc Tánh</t>
  </si>
  <si>
    <t>Xâ Tánh Linh</t>
  </si>
  <si>
    <t>2018-2020</t>
  </si>
  <si>
    <t>481/QĐ-SVHTTDL ngày 21/10/2020</t>
  </si>
  <si>
    <t>Tu bổ, tôn tạo di tích kiến trúc nghệ thuật đình Hòa Thuận</t>
  </si>
  <si>
    <t>Xạ Bắc Bình</t>
  </si>
  <si>
    <t>636/QĐ-SVHTTDL ngày 28/12/2020</t>
  </si>
  <si>
    <t>Tu bổ, tôn tạo di tích lịch sử văn hóa đình Long Hương</t>
  </si>
  <si>
    <t>2020-2021</t>
  </si>
  <si>
    <t>417/QĐ-SVHTTDL ngày 09/12/2021</t>
  </si>
  <si>
    <t>Tu bổ, tôn tạo di tích lịch sử văn hóa Vạn Tả Tân</t>
  </si>
  <si>
    <t>416/QĐ-SVHTTDL ngày 09/12/2021</t>
  </si>
  <si>
    <t>Mở rộng Thư viện tỉnh</t>
  </si>
  <si>
    <t>2020-2023</t>
  </si>
  <si>
    <t>654/QĐ-SVHTTDL ngày 30/12/2022</t>
  </si>
  <si>
    <t>Khu tập luyện và thi đấu các môn đua thuyền</t>
  </si>
  <si>
    <t>164/QĐ-SVHTTDL ngày 30/3/2023</t>
  </si>
  <si>
    <t>Sửa chữa nhà hát ca múa nhạc Biển Xanh</t>
  </si>
  <si>
    <t>2022-2023</t>
  </si>
  <si>
    <t>604/QĐ-SVHTTDL ngày 27/12/2022</t>
  </si>
  <si>
    <t>Sân nền, vỉa hè và hệ thống cây xanh sung quanh nhà hát và triển lãm văn hóa nghệ thuật tỉnh Bình Thuận</t>
  </si>
  <si>
    <t>450/QĐ-SVHTTDL ngày 22/9/2023</t>
  </si>
  <si>
    <t>Dự án Xây dựng Trung tâm Văn hóa Nghệ thuật tỉnh Lâm Đồng</t>
  </si>
  <si>
    <t>7886186</t>
  </si>
  <si>
    <t>Phường Lang Biang - Đà Lạt</t>
  </si>
  <si>
    <t>2433/QĐ-UBND ngày 28/9/2021; 2082/QĐ-UBND ngày 23/12/2024</t>
  </si>
  <si>
    <t>Tu bổ, tôn tạo di tích đền thờ Pô Tằm, thị trấn Ma Lâm, huyện Hàm Thuận Bắc</t>
  </si>
  <si>
    <t>Phường Hàm Thuận</t>
  </si>
  <si>
    <t>850/QĐ-STC ngày 27/6/2025</t>
  </si>
  <si>
    <t>Xã Tà Năng</t>
  </si>
  <si>
    <t>Xã Xuân Trường</t>
  </si>
  <si>
    <t>Xã Sông Lũy</t>
  </si>
  <si>
    <t>Xã Hàm Thạnh</t>
  </si>
  <si>
    <t>Xã La Dạ</t>
  </si>
  <si>
    <t>Xã Nam Thành</t>
  </si>
  <si>
    <t>Xã Tân Hải</t>
  </si>
  <si>
    <t>VĂN HÓA THÔNG TIN</t>
  </si>
  <si>
    <t>Ban quản lý dự án ĐTXD khu vực la Gi</t>
  </si>
  <si>
    <t>QUỐC PHÒNG</t>
  </si>
  <si>
    <t>Bộ chỉ huy quân sự tỉnh</t>
  </si>
  <si>
    <t>Xã Đức Trọng</t>
  </si>
  <si>
    <t>Xã Quảng Sơn</t>
  </si>
  <si>
    <t>Xây dựng nhà Đại đội bộ binh 3 và 4 – Tiểu đoàn Bộ binh 1 thuộc Trung đoàn Bộ binh 812</t>
  </si>
  <si>
    <t>Xã Hàm Liêm</t>
  </si>
  <si>
    <t>260/QĐ-STC ngày 16/4/2025</t>
  </si>
  <si>
    <t>Xã Hòa Thắng</t>
  </si>
  <si>
    <t>Tổng chiều dài 2.019,11m</t>
  </si>
  <si>
    <t>Xã Bắc Bình</t>
  </si>
  <si>
    <t>Xã Hàm Thuận Bắc</t>
  </si>
  <si>
    <t>Xã Hồng Sơn</t>
  </si>
  <si>
    <t>Xã Đinh Trang Thượng</t>
  </si>
  <si>
    <t>Xã Bảo Lâm 1</t>
  </si>
  <si>
    <t>Xã Tánh Linh</t>
  </si>
  <si>
    <t xml:space="preserve"> Nhóm C</t>
  </si>
  <si>
    <t>Sở Khoa học và Công nghệ</t>
  </si>
  <si>
    <t>Khắc phục hậu quả thiên tai sông Đa Dâng đoạn qua xã Tân Văn và xã Đạ Đờn, huyện Lâm Hà (nay là xã Đinh Văn - Lâm Hà và Phú Sơn - Lâm Hà)</t>
  </si>
  <si>
    <t>Xã: Đinh Văn Lâm Hà, Phú Sơn Lâm Hà</t>
  </si>
  <si>
    <t xml:space="preserve">978/QĐ-UBND ngày 06/6/2024 </t>
  </si>
  <si>
    <t>CT</t>
  </si>
  <si>
    <t>Xã Đạ Tẻh</t>
  </si>
  <si>
    <t>Hồ chứa nước Đắk N'Ting, tỉnh Đắk Nông</t>
  </si>
  <si>
    <t xml:space="preserve"> Krông Nô</t>
  </si>
  <si>
    <t>NN&amp;PTNT</t>
  </si>
  <si>
    <t>1717/QĐ-UBND ngày 31/10/2018
1158/QĐ-UBND ngày 15/7/2019</t>
  </si>
  <si>
    <t>Kè bảo vệ dân dư và vùng trọng điểm sản xuất lương thực dọc sông Krông Nô (Giai đoạn 2)</t>
  </si>
  <si>
    <t>2021-2022</t>
  </si>
  <si>
    <t>430/QĐ-UBND ngày 30/3/2021
859/QĐ-UBND ngày 18/5/2022</t>
  </si>
  <si>
    <t>Ban Quản lý dự án đầu tư xây dựng khu vực Đơn Dương</t>
  </si>
  <si>
    <t>Xã D'Ran</t>
  </si>
  <si>
    <t>Ban Quản lý dự án đầu tư xây dựng khu vực Đạ Huoai</t>
  </si>
  <si>
    <t>Dự án hoàn thiện hệ thống cấp nước sinh hoạt trung tâm huyện Cát Tiên</t>
  </si>
  <si>
    <t>Xã Cát Tiên</t>
  </si>
  <si>
    <t>80/QD-UBND ngày 15/01/2025</t>
  </si>
  <si>
    <t>Hệ thống cấp nước sạch cho người dân khu vực trung tâm xã Phước Cát 2, huyện Cát Tiên</t>
  </si>
  <si>
    <t>8143310</t>
  </si>
  <si>
    <t>Xã Cát Tiên 2</t>
  </si>
  <si>
    <t>326/NQ-HÐND ngày 04/10/2024</t>
  </si>
  <si>
    <t>Ban Quản lý dự án đầu tư xây dựng khu vực Đà Lạt</t>
  </si>
  <si>
    <t>Xây dựng mương thoát nước suối Hai Bà Trưng, phường 6, thành phố Đà Lạt</t>
  </si>
  <si>
    <t>Phường Cam Ly - Đà Lạt</t>
  </si>
  <si>
    <t>Chiều dài 380m</t>
  </si>
  <si>
    <t>733/QĐ-UBND
ngày 07/3/2025</t>
  </si>
  <si>
    <t>Ban Quản lý dự án đầu tư xây dựng khu vực Đam Rông</t>
  </si>
  <si>
    <t>Xây dựng công trình cấp nước sinh hoạt xã Đạ Tông, huyện Đam Rông</t>
  </si>
  <si>
    <t>xã Đam Rông 4</t>
  </si>
  <si>
    <t>Cho 1.525 hộ dân</t>
  </si>
  <si>
    <t>1141/QĐ-UBND ngày 29/5/2025</t>
  </si>
  <si>
    <t>Xây dựng nhà máy nước thôn Phi Zút, Păng Pế Nâm, Păng Pế Dơng, xã Đạ R'sal, huyện Đam Rông</t>
  </si>
  <si>
    <t>xã Đam Rông 3</t>
  </si>
  <si>
    <t>Cho 550 hộ dân, 03 trường học</t>
  </si>
  <si>
    <t>1364/QĐ-UBND ngày 24/6/2025</t>
  </si>
  <si>
    <t>Ban Quản lý dự án đầu tư xây dựng khu vực Đức Trọng</t>
  </si>
  <si>
    <t>Khắc phục hậu quả thiên tai suối Đa Tam đoạn qua thôn Định An, xã Hiệp An, huyện Đức Trọng</t>
  </si>
  <si>
    <t>Nạo vét và gia cố bảo vệ</t>
  </si>
  <si>
    <t>2024</t>
  </si>
  <si>
    <t>1112/QĐ-UBND ngày 05/7/2024</t>
  </si>
  <si>
    <t>Xây dựng hạ tầng khu tái định canh cho các hộ có đất bị thu hồi thuộc dự án hồ chứa nước Ta Hoét, xã Hiệp An, huyện Đức Trọng</t>
  </si>
  <si>
    <t>1988/QĐ-UBND ngày 16/10/2023</t>
  </si>
  <si>
    <t>Duy tu dăm vá, sửa chữa, lắp đặt biển báo, nạo vét các tuyến đường trên địa bàn huyện</t>
  </si>
  <si>
    <t>2180/QĐ-UBND ngày 11/12/2024</t>
  </si>
  <si>
    <t>Duy tu, sửa chữa Hồ Bồng Lai, xã Hiệp Thạnh</t>
  </si>
  <si>
    <t>2202/QĐ-UBND ngày 13/12/2024</t>
  </si>
  <si>
    <t>Duy tu sửa chữa các công trình thuỷ lợi trên địa bàn huyện</t>
  </si>
  <si>
    <t>Xã: Tân Hội, Tà Hine, Tà Năng, Đức Trọng</t>
  </si>
  <si>
    <t>2182/QĐ-UBND ngày 11/12/2024</t>
  </si>
  <si>
    <t>Ban Quản lý dự án đầu tư xây dựng khu vực Lạc Dương</t>
  </si>
  <si>
    <t>Nạo vét thượng nguồn lòng hồ Đan Kia, thị trấn Lạc Dương, huyện Lạc Dương</t>
  </si>
  <si>
    <t>Phường Lang Biang- Đà Lạt</t>
  </si>
  <si>
    <t>S= 65,6 ha</t>
  </si>
  <si>
    <t>896/QĐ-UBND ngày 24/5/2022; 933/QĐ-UBND ngày 8/5/2025</t>
  </si>
  <si>
    <t>Xã Lạc Dương</t>
  </si>
  <si>
    <t>Ban Quản lý dự án đầu tư xây dựng khu vực Di Linh</t>
  </si>
  <si>
    <t xml:space="preserve">Xây dựng  hệ thống nước sinh hoạt xã Tam Bố </t>
  </si>
  <si>
    <t>Gia Hiệp</t>
  </si>
  <si>
    <t>D140 dài 1.000m; D140 dài 1.726m; D110 dài 1.149m</t>
  </si>
  <si>
    <t>797/QĐ-UBND ngày 24/4/2025</t>
  </si>
  <si>
    <t>Xây dựng tuyến đường ĐT.729 kết nối tỉnh Lâm Đồng với tỉnh Bình Thuận và tuyến đường ĐT.722 kết nối tỉnh Lâm Đồng với tỉnh Đắk Lắk</t>
  </si>
  <si>
    <t>Xã Đam Rông 4</t>
  </si>
  <si>
    <t xml:space="preserve">L= 18,9km, Cấp IV </t>
  </si>
  <si>
    <t>2468/QĐ-UBND ngày 01/10/2021, 14/QĐ-UBND ngày 02/01/2024</t>
  </si>
  <si>
    <t>Nâng cấp tuyến đường ĐT721 đoạn từ Km0+000 đến Km16+600</t>
  </si>
  <si>
    <t>Xã: Đạ Huoai, Đạ Tẻh, Đạ Tẻh 2</t>
  </si>
  <si>
    <t>L=16,472km, Cấp II miền núi</t>
  </si>
  <si>
    <t xml:space="preserve">1985/QĐ-UBND ngày 16/10/2023 </t>
  </si>
  <si>
    <t>Phường 3 - Bảo Lộc và phường B'Blao</t>
  </si>
  <si>
    <t>L= 15,58km, Cấp III miền núi</t>
  </si>
  <si>
    <t>Đường Bắc Nam giai đoạn 2, TX.Gia Nghĩa, tỉnh Đắk Nông</t>
  </si>
  <si>
    <t>Gia Nghĩa</t>
  </si>
  <si>
    <t>2009-2018</t>
  </si>
  <si>
    <t>1908/QĐ-UBND ngày 01/12/2017</t>
  </si>
  <si>
    <t>Đường giao thông từ thôn 1 vào vùng đồng bào dân tộc Mông thôn Năm Tầng, xã Đắk R'La, huyện Đắk Mil đến xã Cư K'nia, huyện Cư Jút, tỉnh Đắk Nông</t>
  </si>
  <si>
    <t>Cư Jut, Đắk Mil</t>
  </si>
  <si>
    <t>1762/QĐ-UBND ngày 30/11/2020</t>
  </si>
  <si>
    <t>Dự án thành phần 2: Đầu tư xây dựng đường gom, cầu vượt ngang đoạn qua tỉnh Đắk Nông</t>
  </si>
  <si>
    <t>Đắk R'lấp</t>
  </si>
  <si>
    <t>Cấp III và cấp IV</t>
  </si>
  <si>
    <t>486/QĐ-UBND ngày 08/4/2025</t>
  </si>
  <si>
    <t>Dự án thành phần 4: Bồi thường, hỗ trợ, tái định cư đoạn qua tỉnh Đắk Nông</t>
  </si>
  <si>
    <t>xã Kiến Đức, xã Quảng tín</t>
  </si>
  <si>
    <t>HTKT, Công trình từ cấp IV</t>
  </si>
  <si>
    <t>1546/QĐ-UBND ngày 03/10/2025</t>
  </si>
  <si>
    <t>Hạ tầng kỹ thuật kết nối khu vực đồi Đắk Nur</t>
  </si>
  <si>
    <t>1827/QĐ-UBND ngày 07/12/2020</t>
  </si>
  <si>
    <t>Nâng cấp đường giao thông liên xã Đắk N'drung - Thuận Hà</t>
  </si>
  <si>
    <t>Xã: Đức An, Thuận Hạnh</t>
  </si>
  <si>
    <t>Cấp V, L= 4,518Km</t>
  </si>
  <si>
    <t>2455/QĐ-SGTVT
ngày 16/11/2020</t>
  </si>
  <si>
    <t>Đường vành đai phía Đông huyện Đắk Song</t>
  </si>
  <si>
    <t>xã Đức An</t>
  </si>
  <si>
    <t>Cấp III</t>
  </si>
  <si>
    <t>1749/QĐ-UBND ngày 31/10/2017</t>
  </si>
  <si>
    <t>Nâng cấp các tuyến đường giao thông thị trấn Đức An kết nối với xã Nam Bình huyện Đắk Song</t>
  </si>
  <si>
    <t>4.409,53m</t>
  </si>
  <si>
    <t>1853/QĐ-UBND ngày 10/12/2020</t>
  </si>
  <si>
    <t>Đường giao thông liên xã Nam Bình - Thuân Hạnh</t>
  </si>
  <si>
    <t>Cấp V miền núi, 5,6 km</t>
  </si>
  <si>
    <t>1724/QĐ-UBND, ngày 31/10/2018</t>
  </si>
  <si>
    <t>Nâng cấp liên xã Nam Bình Thuận Hạnh</t>
  </si>
  <si>
    <t xml:space="preserve"> Cấp V, L = 5,6 km</t>
  </si>
  <si>
    <t>2053/QĐ-UBND
 ngày 25/11/2021</t>
  </si>
  <si>
    <t>Đường giao thông liên xã Thuận Hà - Đắk N'Drung huyện Đắk Song</t>
  </si>
  <si>
    <t>7660870</t>
  </si>
  <si>
    <t>L=3,5 km</t>
  </si>
  <si>
    <t>2018-2022</t>
  </si>
  <si>
    <t>2569/QĐ-UBND ngày 31/10/2017</t>
  </si>
  <si>
    <t>Đường giao thông tổ dân phố 3 thị trấn Đức An kết nối Quảng trường trung tâm huyện Đắk Song</t>
  </si>
  <si>
    <t>L= 906.15m</t>
  </si>
  <si>
    <t>2562/QĐ-UBND ngày 22/12/2023</t>
  </si>
  <si>
    <t>Đường giao thông tổ dân phố 6 đi đường vành đai phía Đông</t>
  </si>
  <si>
    <t>L= 1096,33m</t>
  </si>
  <si>
    <t>2563/QĐ-UBND ngày 22/12/2023</t>
  </si>
  <si>
    <t>Nâng cấp, mở rộng đường từ xã Nam Bình đi xã Thuận Hạnh (Đường huyện ĐH.31)</t>
  </si>
  <si>
    <t>Cấp IV miền núi</t>
  </si>
  <si>
    <t>3357/QĐ-UBND ngày 09/12/2024</t>
  </si>
  <si>
    <t>Nâng cấp đường giao thông từ QL14 đi tổ dân phố 8 thị trấn Đức An huyện Đắk Song</t>
  </si>
  <si>
    <t>L=1,5 km</t>
  </si>
  <si>
    <t>1739/QĐ-UBND ngày 29/52025</t>
  </si>
  <si>
    <t>Đường giao thông từ Đường huyện ĐH 28 đi bon Bu Boong xã Đăk NDrung</t>
  </si>
  <si>
    <t>8151269</t>
  </si>
  <si>
    <t>L=1,06 km</t>
  </si>
  <si>
    <t>1740/QĐ-UBND ngày 29/52025</t>
  </si>
  <si>
    <t>Đường giao thông trung tâm xã Đắk Hoà đi đường huyện ĐH.32</t>
  </si>
  <si>
    <t>Xã Đắk Song</t>
  </si>
  <si>
    <t>L= 1.124,3m</t>
  </si>
  <si>
    <t>519/QĐ-UBND ngày 12/2/2025</t>
  </si>
  <si>
    <t xml:space="preserve">Đường Bờ Tây Hồ Trung tâm </t>
  </si>
  <si>
    <t>7624255</t>
  </si>
  <si>
    <t>Công trình giao thông nhóm C, cấp III</t>
  </si>
  <si>
    <t>1720/QĐ-UBND ngày 31/7/2017</t>
  </si>
  <si>
    <t>Đường Lý Thái Tổ đến khu tái định cư B (giai đoạn 1), đồi Đắk Nur, phường Nghĩa Đức, thị xã Gia Nghĩa</t>
  </si>
  <si>
    <t>Công trình Giao thông,
 cấp III</t>
  </si>
  <si>
    <t>2014-2019</t>
  </si>
  <si>
    <t>1719/QĐ-UBND ngày 30/10/2013</t>
  </si>
  <si>
    <t>Đường N'Trang Lơng thị xã Gia Nghĩa (nay đổi tên thành đường Y Bih Alêô)</t>
  </si>
  <si>
    <t xml:space="preserve">Phường Đông Gia Nghĩa </t>
  </si>
  <si>
    <t>Công trình giao thông;
 cấp III</t>
  </si>
  <si>
    <t>2013-2017</t>
  </si>
  <si>
    <t>2097/QĐ-UBND, ngày 29/12/2017</t>
  </si>
  <si>
    <t>Nâng cấp, mở rộng đường Lê Lai và đường Nguyễn Văn Trỗi (đoạn từ đường 23/3 đến cổng chính Tỉnh ủy)</t>
  </si>
  <si>
    <t>Công trình giao thông, cấp III</t>
  </si>
  <si>
    <t>611/QĐ-UBND ngày 31/03/2023</t>
  </si>
  <si>
    <t>Nâng cấp, mở rộng đường Lê Thánh Tông, thành phố Gia Nghĩa</t>
  </si>
  <si>
    <t>1851/QĐ-UBND ngày  10/12/2020</t>
  </si>
  <si>
    <t>Đường Lê Hồng Phong nối đường tránh thành phố Gia Nghĩa</t>
  </si>
  <si>
    <t>Phường Bắc Gia Nghĩa và Nam Gia Nghĩa</t>
  </si>
  <si>
    <t>1898/QĐ-UBND ngày 09/11/2021</t>
  </si>
  <si>
    <t>Phường Nam Gia Nghĩa</t>
  </si>
  <si>
    <t>2017-2019</t>
  </si>
  <si>
    <t>Đường từ ngã tư đường tránh đi khu di tích lịch sử quốc gia địa điểm bắt liên lạc khai thông đường Hồ Chí Minh (giai đoạn 1)</t>
  </si>
  <si>
    <t>2005/QĐ-UBND ngày 31/12/2021</t>
  </si>
  <si>
    <t>Sửa chữa, cải tạo đường vào trường THCS Trần Phú (đoạn từ đường Tôn Đức Thắng đến đường bờ Tây hồ trung tâm), phường Nghĩa Thành</t>
  </si>
  <si>
    <t>1041/QĐ-UBND ngày 30/10/2018</t>
  </si>
  <si>
    <t>Nâng cấp, sửa chữa hạ tầng nghĩa trang Nhân dân thành phố Gia Nghĩa</t>
  </si>
  <si>
    <t>Phường Đông Gia Nghĩa</t>
  </si>
  <si>
    <t>Công trình hạ tầng kỹ thuật, cấp III</t>
  </si>
  <si>
    <t>1820/QĐ-UBND ngày 30/10/2024</t>
  </si>
  <si>
    <t>Đường từ thôn Nghĩa Tín, xã Quảng Thành đi phường Nghĩa Đức (giai đoạn 2)</t>
  </si>
  <si>
    <t>1042/QĐ-UBND ngày 30/10/2018</t>
  </si>
  <si>
    <t>Ban Quản lý dự án đầu tư xây dựng khu vực Tuy Đức</t>
  </si>
  <si>
    <t>Nâng cấp, mở rộng tuyến đường từ ngã ba Tỉnh lộ 1 (TL 681) đi trường tiểu học Lê Hồng Phong</t>
  </si>
  <si>
    <t>Xã Tuy Đức</t>
  </si>
  <si>
    <t>Đường giao thông đô thị cấp IV; 326m</t>
  </si>
  <si>
    <t>2318/QĐ-UBND ngày 29/12/2023</t>
  </si>
  <si>
    <t>Đường giao thông từ huyện Tuy Đức đi huyện Đắk R'lấp, tỉnh Đăk Nông (đoạn từ cầu Đắk Loan đi cầu Đắk Nguyên) - Trục D3</t>
  </si>
  <si>
    <t>Xã Quảng Tân</t>
  </si>
  <si>
    <t>Đường cấp V miền núi, 10 km</t>
  </si>
  <si>
    <t>32/NQ-HĐND ngày 11/5/2021</t>
  </si>
  <si>
    <t>Nâng cấp, mở rộng tuyến đường giao thông liên xã Đăk R'tih đi xã Quảng Tân huyện Tuy Đức (Đoạn từ ngã ba Phí á đến ngã ba Quảng Tân)</t>
  </si>
  <si>
    <t>Đường cấp VI miền núi, 10,6 km</t>
  </si>
  <si>
    <t>87/NQ-HĐND ngày 22/9/2020</t>
  </si>
  <si>
    <t>Ban Quản lý dự án đầu tư xây dựng khu vực Cư Jút</t>
  </si>
  <si>
    <t>Nâng cấp, cải tạo tuyến đường giao thông từ ngã tư Phan Chu Trinh vào xã Nam Dong; hạng mục: Nền, mặt đường, hệ thống thoát nước, điện chiếu sáng</t>
  </si>
  <si>
    <t>Xã Cư Jut</t>
  </si>
  <si>
    <t>1866/QĐ-UBND, ngày 14/12/2021</t>
  </si>
  <si>
    <t>Hệ thống thoát nước đường Nguyễn Văn Linh; Hạng mục: Mương thoát nước và lốc vỉa</t>
  </si>
  <si>
    <t>2449/QĐ-UBND
ngày 30/10/2018</t>
  </si>
  <si>
    <t>Đường giao thông xã Nam Dong đi Đắk D'rông - Đắk Wil</t>
  </si>
  <si>
    <t>Xã ND-Đắk Wil</t>
  </si>
  <si>
    <t>1816/QĐ-UBND, ngày 04/12/2020</t>
  </si>
  <si>
    <t>Đường giao thông liên xã thị trấn Ea T’ling - Trúc Sơn - Cư K’nia - Nam Dong</t>
  </si>
  <si>
    <t>Xã Cư Jút - Nam Dong</t>
  </si>
  <si>
    <t>2012/QĐ-UBND, ngày 22/11/2021</t>
  </si>
  <si>
    <t>Ban Quản lý dự án đầu tư xây dựng khu vực Đắk Mil</t>
  </si>
  <si>
    <t>Nâng cấp đường Đắk R'la đi Long Sơn</t>
  </si>
  <si>
    <t>Xã Đắk Mil và xã Đắk Sắk</t>
  </si>
  <si>
    <t>608/QĐ-UBND ngày 22/05/2024</t>
  </si>
  <si>
    <t>Đường Liên xã Đức Minh - Thuận An, Huyện Đăk Mil</t>
  </si>
  <si>
    <t>Xã: Đức Lập, Thuận An</t>
  </si>
  <si>
    <t>QĐ số 1863/UBND ngày 14/12/2020</t>
  </si>
  <si>
    <t>Đường Lê Lợi</t>
  </si>
  <si>
    <t>Xã Đức Lập</t>
  </si>
  <si>
    <t>1308/QĐ-UBND ngày 03/11/2022</t>
  </si>
  <si>
    <t>Cải tạo, nâng cấp, mở rộng đường Nguyễn Trãi</t>
  </si>
  <si>
    <t>1302/QĐ-UBND ngày 03/11/2022</t>
  </si>
  <si>
    <t>Đường từ đường Lê Duẩn đi trụ sở UBND xã Đức Minh mới (Giai đoạn 1)</t>
  </si>
  <si>
    <t>1277/QĐ-UBND ngày 31/10/2022</t>
  </si>
  <si>
    <t>Đường vành đai Hồ Tây (Giai đoạn 2). Hạng mục: Vỉa hè, hệ thống thoát nước, điện chiếu sáng (Từ đường Nguyễn Du đến đường đi QL14)</t>
  </si>
  <si>
    <t>Xã Thuận An và xã Đức Lập</t>
  </si>
  <si>
    <t>19/QĐ-UBND ngày 08/01/2021</t>
  </si>
  <si>
    <t>Xây dựng đường tránh thị trấn Thạnh Mỹ</t>
  </si>
  <si>
    <t>Xã Đơn Dương</t>
  </si>
  <si>
    <t>L= 2768,03m</t>
  </si>
  <si>
    <t>760/QĐ-UBND ngày 14/4/2023</t>
  </si>
  <si>
    <t>Nâng cấp đường từ ĐT721 đi vào khu dân cư tập trung tổ dân phố 3A, 3B; Xây dựng đường giao thông TDP 2C, 2D, thị trấn Đạ Tẻh</t>
  </si>
  <si>
    <t>Cấp IV</t>
  </si>
  <si>
    <t>445/QĐ-UBND ngày 02/3/2021; 2091/QĐ-UBND ngày 24/12/2024</t>
  </si>
  <si>
    <t>Xây dựng đường giao thông đi từ đường Ba tháng Hai đến đường Hai Sáu tháng Ba, thị trấn Đạ Tẻh</t>
  </si>
  <si>
    <t>Cấp III, L= 1506,62m</t>
  </si>
  <si>
    <t>445/QĐ-UBND ngày 02/3/2021;  2090/QĐ-UBND ngày 24/12/2024</t>
  </si>
  <si>
    <t>Xây dựng cầu thôn 7 thị trấn Đạ Tẻh đi Mỏ Vẹt, xã Đạ Kho</t>
  </si>
  <si>
    <t>Xã Đạ Tẻh - Xã Đạ Tẻh 2</t>
  </si>
  <si>
    <t>Cấp III. L= 460m</t>
  </si>
  <si>
    <t>225/QĐ-UBND ngày 14/2/02022</t>
  </si>
  <si>
    <t>Hoàn thiện mặt đường, vỉa hè, hệ thống thoát nước, điện chiếu sáng đường Hùng Vương đi ĐT725</t>
  </si>
  <si>
    <t>298/QĐ-UBND ngày 01/02/2024</t>
  </si>
  <si>
    <t>Dự án Xây dựng hạ tầng kỹ thuật khu dân cư, tái định cư tại xã Đạ Oai, huyện Đạ Huoai phục vụ dự án xây dựng tuyến đường bộ cao tốc Tân Phú (tỉnh Đồng Nai) - Bảo Lộc (tỉnh Lâm Đồng)</t>
  </si>
  <si>
    <t>8091487</t>
  </si>
  <si>
    <t xml:space="preserve">Xã Đạ Huoai </t>
  </si>
  <si>
    <t>HTKT cấp III, 12,58 ha</t>
  </si>
  <si>
    <t>852/QĐ-UBND ngày 14/5/2024</t>
  </si>
  <si>
    <t xml:space="preserve">Đường vành đai thị trấn Mađaguôi </t>
  </si>
  <si>
    <t>Xã Đạ Huoai</t>
  </si>
  <si>
    <t>L= 4.090m</t>
  </si>
  <si>
    <t>1321/QĐ-UBND ngày15/8/2024</t>
  </si>
  <si>
    <t>Đường 3L và đường 3K, thị trấn Cát Tiên; đường vào Khu 5, Khu 10, thị trấn Cát Tiên đi Mỹ Lâm (đường ĐH.90)</t>
  </si>
  <si>
    <t>7869277</t>
  </si>
  <si>
    <t>L= 1.023m gồm 2 tuyến</t>
  </si>
  <si>
    <t>1976/QĐ-UBND ngày 29/7/2021</t>
  </si>
  <si>
    <t>Xây dựng đường từ trung tâm xã Tiên Hoàng đi hồ Đạ Sị</t>
  </si>
  <si>
    <t>8111237</t>
  </si>
  <si>
    <t>Xã Cát Tiên 3</t>
  </si>
  <si>
    <t>L=2.254,45m</t>
  </si>
  <si>
    <t>1308/QĐ-UBND ngày 14/8/2024</t>
  </si>
  <si>
    <t>Nâng cấp tuyến đường ĐT.721 đoạn từ Km41+895 đến Km43+550 huyện Cát Tiên</t>
  </si>
  <si>
    <t>8137017</t>
  </si>
  <si>
    <t>L= 1.653,59m</t>
  </si>
  <si>
    <t>500/QĐ-UBND ngày 13/3/2025</t>
  </si>
  <si>
    <t>Xây dựng hệ thống thoát nước và nâng cấp đường 3J, thị trấn Cát Tiên</t>
  </si>
  <si>
    <t>8135097</t>
  </si>
  <si>
    <t xml:space="preserve">Xã Cát Tiên </t>
  </si>
  <si>
    <t>L= 332m;</t>
  </si>
  <si>
    <t>999/QĐ-UBND</t>
  </si>
  <si>
    <t>Nâng cấp đường NF-1, thị trấn Đạ Tẻh</t>
  </si>
  <si>
    <t>8125569</t>
  </si>
  <si>
    <t>Xã Đạ Huoai 2</t>
  </si>
  <si>
    <t>Đầu tư xây dựng đường giao thông nối từ đường Lữ Gia xuống thượng lưu hồ Xuân Hương và xây dựng kè chắn xung quanh hồ Lắng số 1 và dọc theo suối (đoạn từ hồ Lắng số 1 đến điểm đường Lữ Gia mở rộng)</t>
  </si>
  <si>
    <t>Phường Lâm Viên - Đà Lạt</t>
  </si>
  <si>
    <t>Nâng cấp, cải tạo 499m suối; xây dựng mới 803m; nâng cấp, mở rộng 921m tuyến đường</t>
  </si>
  <si>
    <t>435/QĐ-UBND
ngày 01/3/2021;
1813/QĐ-UBND
ngày 21/9/2023</t>
  </si>
  <si>
    <t>Thảm nhựa đường Lê Đại Hành, Phạm Ngũ Lão và vòng xoay Trần Quốc Toản - Nguyễn Thị Minh Khai, TP Đà Lạt</t>
  </si>
  <si>
    <t>Phường Xuân Hương - Đà Lạt</t>
  </si>
  <si>
    <t>L= 695m</t>
  </si>
  <si>
    <t>3568/QĐ-UBND
ngày 28/11/2024</t>
  </si>
  <si>
    <t>Nâng cấp, mở rộng đường Tôn Thất Tùng, phường 8, TP Đà Lạt</t>
  </si>
  <si>
    <t>L= 882m</t>
  </si>
  <si>
    <t>3565/QĐ-UBND
ngày 28/11/2024</t>
  </si>
  <si>
    <t>Xây dựng đường thuộc khu quy hoạch thôn 1, thôn 6, xã Tà Nung, TP Đà Lạt</t>
  </si>
  <si>
    <t>L= 904,5m</t>
  </si>
  <si>
    <t>816/QĐ-UBND
ngày 25/3/2025</t>
  </si>
  <si>
    <t>Nâng cấp, cải tạo đường Yết Kiêu, phường 6, TP Đà Lạt</t>
  </si>
  <si>
    <t>L= 1160m</t>
  </si>
  <si>
    <t>818/QĐ-UBND
ngày 25/3/2025</t>
  </si>
  <si>
    <t>Nâng cấp, cải tạo đường Mai Xuân Thưởng, phường 8, TP Đà Lạt</t>
  </si>
  <si>
    <t>Chiều dài 622m</t>
  </si>
  <si>
    <t>553/QĐ-UBND
ngày 27/02/2025</t>
  </si>
  <si>
    <t>Thảm nhựa đường Hà Huy Tập và mở rộng nút giao Hà Huy Tập - Lương Thế Vinh, phường 3, TP Đà Lạt</t>
  </si>
  <si>
    <t>Chiều dài 950m</t>
  </si>
  <si>
    <t>3566/QĐ-UBND
ngày 28/11/2024</t>
  </si>
  <si>
    <t>xã Đam Rông 2</t>
  </si>
  <si>
    <t>Xây dựng hệ thống thoát nước hạ lưu khu vực trung tâm huyện Đức Trọng</t>
  </si>
  <si>
    <t>xã 
Đức Trọng</t>
  </si>
  <si>
    <t>2385/QĐ-UBND ngày 01/12/2023</t>
  </si>
  <si>
    <t>Xây dựng hệ thống thoát nước hạ lưu đường Trung tâm xã Đà Loan</t>
  </si>
  <si>
    <t>xã 
Tà Hine</t>
  </si>
  <si>
    <t>2175/QĐ-UBND ngày 11/12/2024</t>
  </si>
  <si>
    <t>Nâng cấp hạ tầng kỹ thuật Khu tái định cư Hiệp An 1, xã Hiệp An, huyện Đức Trọng</t>
  </si>
  <si>
    <t>1195/QĐ-UBND ngày 10/6/2025</t>
  </si>
  <si>
    <t>Dự án đầu tư Xây dựng giao thông và cơ sở hạ tầng kỹ thuật khu quy hoạch Trung tâm Hành chính Quảng trường huyện Đức Trọng</t>
  </si>
  <si>
    <t>2501/QĐ-UBND ngày 28/12/2022</t>
  </si>
  <si>
    <t>Ban Quản lý dự án đầu tư xây dựng khu vực Đắk R'lấp</t>
  </si>
  <si>
    <t>Đường giao thông trung tâm xã Nghĩa Thắng đi thôn Quảng Phước, xã Đạo Nghĩa</t>
  </si>
  <si>
    <t xml:space="preserve"> xã Kiến Đức</t>
  </si>
  <si>
    <t>L= 8,79Km</t>
  </si>
  <si>
    <t>1975/QĐ - UBND ngày 18/11/2021</t>
  </si>
  <si>
    <t>Nâng cấp hệ thống đường và kè chống sạt lở tuyến Lạc Dương đi Đà Lạt</t>
  </si>
  <si>
    <t>L= 3.172,29m</t>
  </si>
  <si>
    <t>1933/QĐ-UBND 
ngày 11/9/2019</t>
  </si>
  <si>
    <t>Ban Quản lý dự án đầu tư xây dựng khu vực Bảo Lộc</t>
  </si>
  <si>
    <t>Nâng cấp mở rộng đường Hồng Bàng, thành phố Bảo Lộc (khu vực quanh trụ sở UBND thành phố Bảo Lộc)</t>
  </si>
  <si>
    <t>Phường 1 Bảo Lộc</t>
  </si>
  <si>
    <t xml:space="preserve">L= 851,4m; HTKT </t>
  </si>
  <si>
    <t>315/NQ-UBND ngày 17/2/2025</t>
  </si>
  <si>
    <t>Nâng cấp đường Cao Bá Quát, thành phố Bảo Lộc</t>
  </si>
  <si>
    <t>L= 1.850 mét</t>
  </si>
  <si>
    <t>1990/QĐ-UBND  1/11/2022</t>
  </si>
  <si>
    <t xml:space="preserve">Nâng cấp mở rộng đường Hoàng Văn Thụ, thành phố Bảo Lộc </t>
  </si>
  <si>
    <t xml:space="preserve">Phường 1 Bảo Lộc </t>
  </si>
  <si>
    <t>L= 2km</t>
  </si>
  <si>
    <t>62/QĐ-UBND ngày 29/1/2024</t>
  </si>
  <si>
    <t>Xây dựng cầu 3 thôn Tân Ninh, xã Lộc Châu</t>
  </si>
  <si>
    <t>Phường 3 Bảo Lộc</t>
  </si>
  <si>
    <t>1024/QĐ-UBND ngày 19/5/2025</t>
  </si>
  <si>
    <t>Đầu tư xây dựng đường nối từ đường Nguyễn Thiện Thuật (xã Lộc Châu) đến khu vực Nhà máy xử lý rác thải (xã Đại Lào)</t>
  </si>
  <si>
    <t xml:space="preserve">Phường 3 Bảo Lộc </t>
  </si>
  <si>
    <t>L= 630m</t>
  </si>
  <si>
    <t>935/QĐ-UBND ngày 07/5/2025</t>
  </si>
  <si>
    <t>Xây dựng các tuyến mương thoát nước hạ lưu trên địa bàn thị trấn Di Linh</t>
  </si>
  <si>
    <t>Di Linh</t>
  </si>
  <si>
    <t>L= 2.064,26m gồm 7 nhánh</t>
  </si>
  <si>
    <t>2022-2026</t>
  </si>
  <si>
    <t>139/QĐ-UBND ngày 01/02/2023</t>
  </si>
  <si>
    <t>Đường Võ Văn Tần, thị trấn Di Linh</t>
  </si>
  <si>
    <t>Nhóm C; L=635m.</t>
  </si>
  <si>
    <t>2968/QĐ-UBND ngày 25/08/2022</t>
  </si>
  <si>
    <t>Đường và cầu Tiên Cô xã Liên Đầm</t>
  </si>
  <si>
    <t>Nhóm C; L=1.226,47m</t>
  </si>
  <si>
    <t>2247/QĐ-UBND ngày 14/6/2022</t>
  </si>
  <si>
    <t>Xây dựng hạ tầng kỹ thuật khu dân cư, tái định cư tại xã Gung Ré, huyện Di Linh phục vụ dự án xây dựng tuyến đường bộ cao tốc Bảo Lộc - Liên Khương</t>
  </si>
  <si>
    <t>Dự án Khu dân cư, tái định cư</t>
  </si>
  <si>
    <t>796/QĐ-UBND ngày 06/05/2024</t>
  </si>
  <si>
    <t>Xây dựng hạ tầng kỹ thuật khu dân cư, tái định cư tại xã Hòa Ninh, huyện Di Linh phục vụ dự án xây dựng tuyến đường bộ cao tốc Bảo Lộc - Liên Khương</t>
  </si>
  <si>
    <t>Hòa Ninh</t>
  </si>
  <si>
    <t>1. San nền, kè chắn đất: 2. HTKT</t>
  </si>
  <si>
    <t>2101/QĐ-UBND ngày 25/12/2024</t>
  </si>
  <si>
    <t>Xây dựng khối 06 phòng học và các hạng mục phụ trợ khác Trường tiểu học Tam Bố.</t>
  </si>
  <si>
    <t>Khối 06 phòng học</t>
  </si>
  <si>
    <t xml:space="preserve">1034/QĐ-UBND ngày 05/05/2023 </t>
  </si>
  <si>
    <t>Đường xuống cánh đồng Gung Ré tổ dân phố K’Ming thị trấn Di Linh; đường GTNT khu dân cư thôn Gia Lành xã Gia Hiệp</t>
  </si>
  <si>
    <t>L= 1910,20m</t>
  </si>
  <si>
    <t xml:space="preserve">2606/QĐ-UBND ngày 12/7/2022 </t>
  </si>
  <si>
    <t>Đường sau trung tâm bảo trợ xã hội, thôn Tân Lạc 1,2 xã Đinh Lạc</t>
  </si>
  <si>
    <t>Bảo thuận</t>
  </si>
  <si>
    <t>L=999,19m</t>
  </si>
  <si>
    <t>1261/QĐ-UBND ngày 06/6/2023</t>
  </si>
  <si>
    <t xml:space="preserve">Xây dựng cầu dân sinh thôn  2-7 xã Hòa Ninh </t>
  </si>
  <si>
    <t>Xây dựng cầu và đường vuốt nối 2 đầu cầu dài 110m</t>
  </si>
  <si>
    <t>3452/QĐ-UBND ngày 14/12/2023</t>
  </si>
  <si>
    <t>Ban Quản lý dự án đầu tư xây dựng khu vực Bảo Lâm</t>
  </si>
  <si>
    <t>Xây dựng mở rộng tuyến đường trục chính thị trấn Lộc Thắng, huyện Bảo Lâm</t>
  </si>
  <si>
    <t xml:space="preserve"> Xã Bảo Lâm 1</t>
  </si>
  <si>
    <t>1,04km đô thị</t>
  </si>
  <si>
    <t>608/QĐ-UBND ngày 04/04/2024</t>
  </si>
  <si>
    <t>Xây dựng nút giao thông trung tâm xã Lộc Quảng</t>
  </si>
  <si>
    <t xml:space="preserve"> 1158/QĐ-UBND ngày 22/03/2024</t>
  </si>
  <si>
    <t>Nâng cấp mở rộng, hệ thống thoát nước vỉa hè đường Trương Định (giai đoạn 01)</t>
  </si>
  <si>
    <t>2792/QĐ-UBND ngày 30/06/2022</t>
  </si>
  <si>
    <t>Đầu tư hoàn thiện hệ thống phun nước công viên thanh niên huyện Bảo Lâm</t>
  </si>
  <si>
    <t>438/QĐ-UBND ngày 07/03/2025</t>
  </si>
  <si>
    <t>Phường 2 Bảo Lộc</t>
  </si>
  <si>
    <t>Đóng cửa bãi rác thôn P'ré, xã Phú Hội</t>
  </si>
  <si>
    <t>xã Đức Trọng</t>
  </si>
  <si>
    <t>2361/QĐ-UBND ngày 20/10/2020</t>
  </si>
  <si>
    <t>Di dời, tái định cư cho 212 hộ dân ở khu trung tâm thành phố Gia Nghĩa</t>
  </si>
  <si>
    <t>Công trình Hạ tầng kỹ thuật, cấp III</t>
  </si>
  <si>
    <t>1871/QĐ-UBND ngày  15/12/2020; 03/QĐ-UBND ngày 03/01/2024</t>
  </si>
  <si>
    <t>Hạ tầng kỹ thuật khu tải định cư cho cụm Công trình thủy lợi (khu tái định cư B)</t>
  </si>
  <si>
    <t>2026-2029</t>
  </si>
  <si>
    <t>Xây dựng hạ tầng kỹ thuật khu dân cư, tái định cư tại thị trấn Lộc Thắng, huyện Bảo Lâm phục vụ dự án xây dựng tuyến đường bộ cao tốc Tân Phú (tỉnh Đồng Nai) – Bảo Lộc (tỉnh Lâm Đồng) và dự án tuyến đường bộ cao tốc Bảo Lộc – Liên Khương</t>
  </si>
  <si>
    <t xml:space="preserve"> xã Bảo Lâm 1</t>
  </si>
  <si>
    <t>Xây dựng khu HTKT 3,8 ha phục vụ tái định cư 02 dự án cao tốc</t>
  </si>
  <si>
    <t>1196/QĐ-UBND ngày 10/06/2025</t>
  </si>
  <si>
    <t>Trường THPT Lê Quý Đôn; Hạng mục 04 phòng, và hạ tầng kỹ thuật</t>
  </si>
  <si>
    <t>7603964</t>
  </si>
  <si>
    <t xml:space="preserve"> 04 phòng, và hạ tầng kỹ thuật</t>
  </si>
  <si>
    <t>2017-2018</t>
  </si>
  <si>
    <t>491/QĐ-UBND 31/3/2017</t>
  </si>
  <si>
    <t>Trung tâm giáo dục thường xuyên huyện Tuy Đức</t>
  </si>
  <si>
    <t>7606899</t>
  </si>
  <si>
    <t>Xã Đăk Buk So</t>
  </si>
  <si>
    <t>2017-2022</t>
  </si>
  <si>
    <t>133/QĐ-STC ngày 30/8/2023</t>
  </si>
  <si>
    <t>Các dự án thuộc Chương trình kiên cố hóa trường lớp học MN và tiểu học giai đoạn 2017-2020 huyện Tuy Đức</t>
  </si>
  <si>
    <t>7651221</t>
  </si>
  <si>
    <t xml:space="preserve">195/QĐ-SXD ngày 19/7/2017 </t>
  </si>
  <si>
    <t>Trường TH La Văn Cầu, Hạng mục: 06 phòng học lầu và trang thiết bị</t>
  </si>
  <si>
    <t>06 Phòng học lầu và TTB</t>
  </si>
  <si>
    <t>2481/QĐ-UBND ngày 29/12/2023</t>
  </si>
  <si>
    <t>Trường THCS Ngô Quyền; Hạng mục: Khối nhà hiệu bộ, trang thiết bị và nhà vệ sinh học sinh</t>
  </si>
  <si>
    <t>Khối nhà hiệu bộ, TTB và HTKT</t>
  </si>
  <si>
    <t>2484/QĐ-UBND ngày 29/12/2023</t>
  </si>
  <si>
    <t>Trường TH Lê Mã Lương; Hạng mục: Xây mới 08 phòng học lầu, trang thiết bị và hạ tầng kỹ thuật</t>
  </si>
  <si>
    <t>08 phòng, TTB và HTKT</t>
  </si>
  <si>
    <t>2483/QĐ-UBND ngày 29/12/2023</t>
  </si>
  <si>
    <t>Trường Tiểu học Tô Hiệu (điểm trường thôn Phú Xuân), xã Đắk Nia; hạng mục: Nhà lớp học 08 phòng và hạ tầng kỹ thuật</t>
  </si>
  <si>
    <t>Công trình Dân dụng nhóm C, cấp III</t>
  </si>
  <si>
    <t>899/QĐ-UBND ngày 20/5/2025</t>
  </si>
  <si>
    <t>Cải tạo, nâng cấp khu vệ sinh; xây dựng mới sân chơi và hạ tầng kỹ thuật trường tiều học Phan Chu Trinh, phường Nghĩa Thành (cũ) để chuyển công năng thành Trường Mầm non Hoa Bưởi (mới)</t>
  </si>
  <si>
    <t>Công trình dân dụng, cấp III</t>
  </si>
  <si>
    <t>666/QĐ-UBND ngày 18/4/2025</t>
  </si>
  <si>
    <t>Trường THCS Nguyễn Chí Thanh, phường Quảng Thành; Hạng mục: Nhà lớp học 08 phòng và hạ tầng kỹ thuật</t>
  </si>
  <si>
    <t>576/QĐ-UBND ngày 03/4/2025</t>
  </si>
  <si>
    <t>Trường TH Nguyễn Đình Chiểu; Hạng mục: 04 phòng chức năng và nhà bảo vệ.</t>
  </si>
  <si>
    <t xml:space="preserve"> Cấp III, S= 200m2; NBV 1 tầng S= 14 m2</t>
  </si>
  <si>
    <t>2387/QĐ-UBND, ngày 21/11/2023</t>
  </si>
  <si>
    <t>Trường THCS Nguyễn Trãi, hạng mục: Cải tạo, nâng cấp hàng rào, cổng trường và nhà vệ sinh</t>
  </si>
  <si>
    <t>Xã Đăk Song</t>
  </si>
  <si>
    <t>Sửa chữa, nâng cấp</t>
  </si>
  <si>
    <t>1765/QĐ-UBND ngày 03/6/2025</t>
  </si>
  <si>
    <t>Trường TH&amp;THCS Bế Văn Đàn, hạng mục: Sửa chữa, nâng cấp hàng rào, nhà vệ sinh học sinh và giáo viên điểm phân hiệu Bản Đầm Giỏ</t>
  </si>
  <si>
    <t>Xã Thuận Hạnh</t>
  </si>
  <si>
    <t>1766/QĐ-UBND ngày 03/6/2025</t>
  </si>
  <si>
    <t>Trường TH Nguyễn Viết Xuân; Hạng mục: Cải tạo, nâng cấp hàng rào điểm phân hiệu</t>
  </si>
  <si>
    <t>xã Thuận Hạnh</t>
  </si>
  <si>
    <t>1767/QĐ-UBND ngày 03/6/2025</t>
  </si>
  <si>
    <t>Trường THCS Nguyễn Du; hạng mục: Cải tạo, nâng cấp hàng rào</t>
  </si>
  <si>
    <t xml:space="preserve">1869/QĐ-UBND ngày 13/06/2025 </t>
  </si>
  <si>
    <t>Dự án Trường Phổ thông nội trú liên cấp Tiểu học và Trung học cơ sở Thuận An</t>
  </si>
  <si>
    <t>Xã Thuận An</t>
  </si>
  <si>
    <t>Dự án Trường Phổ thông nội trú liên cấp Tiểu học và Trung học cơ sở Quảng trực</t>
  </si>
  <si>
    <t>Xã Quảng Trực</t>
  </si>
  <si>
    <t xml:space="preserve">1885/QĐ-UBND ngày 29/10/2025 </t>
  </si>
  <si>
    <t>Trường mẫu giáo Tâm Thắng (hạng mục: 08 phòng 02 tầng)</t>
  </si>
  <si>
    <t xml:space="preserve">2229A/QĐ-UBND ngày 29/10/2018 </t>
  </si>
  <si>
    <t xml:space="preserve">Trường Tiểu học Nguyễn Du xã Đắk Wil; hạng mục: Nhà hiệu bộ </t>
  </si>
  <si>
    <t>Xã Đắk Wil</t>
  </si>
  <si>
    <t>2232/QĐ-UBND ngày 30/10/2018</t>
  </si>
  <si>
    <t>Trường THCS Hoàng Văn Thụ xã Đắk Đrông HM: Nhà hiệu bộ</t>
  </si>
  <si>
    <t>Xã Nam Dong</t>
  </si>
  <si>
    <t>3120/QĐ-UBND ngày 17/12/2020</t>
  </si>
  <si>
    <t>Xây dựng Trường Mầm non Ka Đơn, huyện Đơn Dương</t>
  </si>
  <si>
    <t>Xã Quảng Lập</t>
  </si>
  <si>
    <t>13 phòng học, S=3.696m2.</t>
  </si>
  <si>
    <t>1571/QĐ-UBND ngày 03/10/2024</t>
  </si>
  <si>
    <t>Trường THCS Thạnh Mỹ - Hạng mục: Xây dựng nhà đa năng, nhà vệ sinh học sinh và hệ thống PCCC</t>
  </si>
  <si>
    <t>S= 656,0m²</t>
  </si>
  <si>
    <t>414/QĐ-UBND ngày 17/3/2025</t>
  </si>
  <si>
    <t>Trường Mẫu giáo Suối Thông. Hạng mục: Xây dựng 05 phòng học, phòng đa năng, văn phòng, bếp, công trình phụ trợ và hệ thống PCCC tại phân hiệu Suối Thông B</t>
  </si>
  <si>
    <t xml:space="preserve">S= 1.096,8m². </t>
  </si>
  <si>
    <t>679/QĐ-UBND ngày 18/4/2025</t>
  </si>
  <si>
    <t>Xây dựng một số hạng mục trường Tiểu học Tiên Hoàng đạt chuẩn quốc gia mức độ 2</t>
  </si>
  <si>
    <t>8135100</t>
  </si>
  <si>
    <t>Nhà 01 tầng: S= 554m2</t>
  </si>
  <si>
    <t>1746/QĐ-UBND; 999/QĐ-UBND</t>
  </si>
  <si>
    <t>Xây dựng Trường Mầm non 6 (phân hiệu khu quy hoạch Ngô Quyền - Bạch Đằng), phường 6, TP Đà Lạt</t>
  </si>
  <si>
    <t>04 phòng học</t>
  </si>
  <si>
    <t>819/QĐ-UBND
ngày 25/3/2025</t>
  </si>
  <si>
    <t>Xây dựng trường tiểu học Mê Linh, phường Xuân Hương - Đà Lạt</t>
  </si>
  <si>
    <t>15 phòng học. HTKT</t>
  </si>
  <si>
    <t>3032/QĐ-UBND 
ngày 08/10/2023</t>
  </si>
  <si>
    <t>Xây dựng Trường mầm non 2, phường Xuân Hương - Đà Lạt</t>
  </si>
  <si>
    <t>05 phòng học</t>
  </si>
  <si>
    <t>3366/QĐ-UBND 
ngày 09/11/2023</t>
  </si>
  <si>
    <t>Xã Bảo Lâm 2</t>
  </si>
  <si>
    <t>Nâng cấp, mở rộng Trụ sở làm việc HĐND-UBND huyện Tuy Đức; Hạng mục: Nhà hội trường, phòng họp trực tuyến, trang thiết bị</t>
  </si>
  <si>
    <t>Nhà hội trường, phòng họp trực tuyến, trang thiết bị</t>
  </si>
  <si>
    <t>2236/QĐ-UBND ngày 16/121/2022</t>
  </si>
  <si>
    <t>Trụ sỡ làm việc HĐND-UBND xã Quảng Tân</t>
  </si>
  <si>
    <t>Trụ sở làm việc 02 tầng nhà công an, HTKT</t>
  </si>
  <si>
    <t>2236/QĐ-UBND ngày 16/12/2022</t>
  </si>
  <si>
    <t>Nhà hòa giải, đối thoại tại Tòa Án nhân dân huyện</t>
  </si>
  <si>
    <t>Nhà cấp IV</t>
  </si>
  <si>
    <t>480/QĐ-UBND ngày 29/12/2023</t>
  </si>
  <si>
    <t>Tường rào, sân đường bê tông, hạ tâng kỹ thuật trụ sở huyện Tuy Đức</t>
  </si>
  <si>
    <t>Tường rào, sân bê tồng</t>
  </si>
  <si>
    <t>2476/QĐ-UBND ngày 29/12/2023</t>
  </si>
  <si>
    <t>Sửa chữa cải tạo trụ sở làm việc Trung tâm chính trị huyện Tuy Đức</t>
  </si>
  <si>
    <t>2169/QĐ-UBND ngày 28/12/2023</t>
  </si>
  <si>
    <t>2019-2022</t>
  </si>
  <si>
    <t>249/QĐ-UBND 26/02/2019; 802/QĐ-UBND ngày 09/6/2021</t>
  </si>
  <si>
    <t>Trụ sở làm việc UBND xã Đức Minh</t>
  </si>
  <si>
    <t>QĐ số 2183/UBND ngày 09/12/2021</t>
  </si>
  <si>
    <t>Trung tâm hoạt động Thanh thiếu nhi thành phố Bảo Lộc</t>
  </si>
  <si>
    <t>Tổng diện tích sàn 8.201 m2</t>
  </si>
  <si>
    <t>1554/QĐ-UBND ngày 25/6/2023</t>
  </si>
  <si>
    <t>Ban Quản lý dự án đầu tư xây dựng khu vực Krông Nô</t>
  </si>
  <si>
    <t>Trung tâm văn hóa - Thể thao huyện Krông Nô</t>
  </si>
  <si>
    <t>8097051</t>
  </si>
  <si>
    <t xml:space="preserve">  Xã 
Krông Nô  </t>
  </si>
  <si>
    <t>199/NQ-HĐND ngày 18/12/2023</t>
  </si>
  <si>
    <t>Ban Quản lý dự án đầu tư xây dựng Khu vực Đắk Song</t>
  </si>
  <si>
    <t>Nhà thi đấu thể thao huyện Đắk Song</t>
  </si>
  <si>
    <t xml:space="preserve">Cấp III, S= 1.870,0 m2; </t>
  </si>
  <si>
    <t>160/QĐ-BQL ngày 20/6/2025</t>
  </si>
  <si>
    <t>Khu liên hợp Bảo tàng- Thư viện và Công viên tỉnh Đắk Nông</t>
  </si>
  <si>
    <t>Cấp II</t>
  </si>
  <si>
    <t>1732/QĐ-UBND ngày 21/10/2019; 1659/QĐ-UBND ngày 10/11/2020</t>
  </si>
  <si>
    <t>Xây dựng Nhà văn hóa thiếu nhi huyện Đơn Dương</t>
  </si>
  <si>
    <t>1147/QĐ-UBND ngày 09/7/2024</t>
  </si>
  <si>
    <t>Nhà ở cán bộ chiến sỹ công an huyện Đăk Song</t>
  </si>
  <si>
    <t>Nhà ở cấp III, 2 tầng</t>
  </si>
  <si>
    <t>2019-2021</t>
  </si>
  <si>
    <t>1576/QĐ-UBND ngày 31/10/2019</t>
  </si>
  <si>
    <t>Ban Quản lý dự án đầu tư xây dựng Khu vực Di Linh</t>
  </si>
  <si>
    <t>Xây dựng trụ sở công an xã Sơn Điền</t>
  </si>
  <si>
    <t>Sơn Điền</t>
  </si>
  <si>
    <t>Khối nhà được xây 2 tầng.</t>
  </si>
  <si>
    <t>2/QĐ- UBND ngày 14/5/2024</t>
  </si>
  <si>
    <t>Nhà ở xã hội An Sơn phục vụ tái định cư, thành phố Đà Lạt</t>
  </si>
  <si>
    <t>1329/QĐ-UBND
ngày 08/5/2024</t>
  </si>
  <si>
    <t>THỂ DỤC THỂ THAO</t>
  </si>
  <si>
    <t>Ban Quản lý dự án đầu tư xây dựng Khu vực Đam Rông</t>
  </si>
  <si>
    <t>Xây dựng nhà thi đấu đa năng Trung tâm huyện Đam Rông</t>
  </si>
  <si>
    <t>Nhà thi đấu 1.500 chỗ, S= 2.062m2</t>
  </si>
  <si>
    <t>387/QĐ-UBND ngày 26/02/2025</t>
  </si>
  <si>
    <t>Xây dựng hệ thống chiếu sáng Quốc lộ 20 (đoạn qua thành phố Bảo Lộc)</t>
  </si>
  <si>
    <t>Phường: 1, 2, 3, Blao, Bảo Lộc</t>
  </si>
  <si>
    <t>Lắp đặt mới hệ thống chiếu sáng công cộng</t>
  </si>
  <si>
    <t>819/QĐ-UBND ngày 20/11/2024</t>
  </si>
  <si>
    <t>Cải tạo, nâng cấp quảng trường 28/3</t>
  </si>
  <si>
    <t xml:space="preserve">Phường 2 Bảo Lộc </t>
  </si>
  <si>
    <t>Quảng trường (diện tích 1,98ha)</t>
  </si>
  <si>
    <t xml:space="preserve">2370/QĐ-UBND ngày 05/10/2023 </t>
  </si>
  <si>
    <t xml:space="preserve">Khu công viên vui chơi giải trí                                                                                                                                                                                                                            </t>
  </si>
  <si>
    <t>Tháo dỡ 01 khối nhà làm việc cấp IV</t>
  </si>
  <si>
    <t>614/QĐ-UBND ngày 18/03/2021</t>
  </si>
  <si>
    <t>Vỉa hè, điện chiếu sáng các tuyến đường nội thị thị trấn</t>
  </si>
  <si>
    <t>L=652,62m.</t>
  </si>
  <si>
    <t>2608/QĐ-UBND ngày 12/07/2022</t>
  </si>
  <si>
    <t>Trường Mầm non Tiến Thành</t>
  </si>
  <si>
    <t>Trường Mầm non 2/9</t>
  </si>
  <si>
    <t>Trường Tiểu học Phú Trinh 2</t>
  </si>
  <si>
    <t>7070/QĐ-UBND ngày 23/12/2022</t>
  </si>
  <si>
    <t>3107/QĐ-UBND ngày 15/7/2021</t>
  </si>
  <si>
    <t>7244/QĐ-UBND ngày 31/10/2019</t>
  </si>
  <si>
    <t>3884/QĐ-UBND ngày 20/5/2025</t>
  </si>
  <si>
    <t>4520/QĐ-UBND ngày 13/6/2025</t>
  </si>
  <si>
    <t>4840/QĐ-UBND ngày 27/6/2025</t>
  </si>
  <si>
    <t>Hệ thống điện chiếu sáng dọc tuyến đường ĐT715 trong khu dân cư hiện hữu, xã Hồng Phong, huyện Bắc Bình</t>
  </si>
  <si>
    <t>7584/QĐ-UBND, ngày 28/12/2023</t>
  </si>
  <si>
    <t>Trường THCS Đan Phượng, hạng mục: Xây dựng mới 05 phòng bộ môn + văn phòng, nhà vệ sinh, hạ tầng, thiết bị</t>
  </si>
  <si>
    <t>3722/QĐ-UBND ngày 31/10/2017 của UBND huyện Lâm Hà (cũ)</t>
  </si>
  <si>
    <t>Công ty TNHH MTV Khai thác CTTL Đắk Nông</t>
  </si>
  <si>
    <t>Hồ Thôn 5, xã Đắk N'Drung, huyện Đắk Song, tỉnh Đắk Nông (Hạng mục: Sửa chữa đập đất, tràn xả lũ, cống lấy nước)</t>
  </si>
  <si>
    <t>Hồ Băs Rai, xã Quảng Khê, huyện Đắk Glong, tỉnh Đắk Nông (Hạng mục: Đập đất, đường quản lý vận hành)</t>
  </si>
  <si>
    <t>Hồ 847, xã Quảng Sơn, huyện Đắk Glong (Hạng mục: Sửa chữa đập đất, đường quản lý)</t>
  </si>
  <si>
    <t>CTTL Nder, xã Quảng Khê, huyện Đắk Glong (Hạng mục: Đường quản lý vận hành, mái hạ lưu, cống lấy nước)</t>
  </si>
  <si>
    <t xml:space="preserve"> 584/QĐ-SNN ngày 14/10/2020 của Sở NN&amp;PTNT</t>
  </si>
  <si>
    <t>583/QĐ-SNN ngày 14/10/2020 của Sở NN&amp;PTNT</t>
  </si>
  <si>
    <t>585/QĐ-SNN ngày 14/10/2020 của Sở NN&amp;PTNT</t>
  </si>
  <si>
    <t>587/QĐ-SNN ngày 14/10/2020 của Sở NN&amp;PTNT</t>
  </si>
  <si>
    <t>Quyết định số 25/QĐ-STC ngày 01/3/2022</t>
  </si>
  <si>
    <t>Quyết định số 44/QĐ-STC ngày 05/4/2023</t>
  </si>
  <si>
    <t>Quyết định số 135/QĐ-STC ngày 26/7/2022</t>
  </si>
  <si>
    <t>Quyết định số 110/QĐ-STC ngày 30/06/2022</t>
  </si>
  <si>
    <t>Ban Quản lý dự án đầu tư xây dựng khu vực Đăk Rlấp</t>
  </si>
  <si>
    <t>Ban Quản lý dự án đầu tư xây dựng khu vực Đăk Song</t>
  </si>
  <si>
    <t>Ban Quản lý dự án đầu tư xây dựng khu vực Đăk Mil</t>
  </si>
  <si>
    <t>Ban Quản lý dự án đầu tư xây dựng khu vực Cư Jut</t>
  </si>
  <si>
    <t>Ban Quản lý dự án đầu tư xây dựng khu vực Đăk Glong</t>
  </si>
  <si>
    <t>Xã Đam Rông 1</t>
  </si>
  <si>
    <t>Xã Đam Rông 2</t>
  </si>
  <si>
    <t>Trả nợ gốc</t>
  </si>
  <si>
    <t>Quy hoạch chi tiết khu I thuộc quỹ đất hai bên đường Võ Nguyên Giáp</t>
  </si>
  <si>
    <t>7391/QĐ-UBND ngày 26/12/2024</t>
  </si>
  <si>
    <t>Ban Quản lý dự án đầu tư xây dựng Khu vực Đà Lạt</t>
  </si>
  <si>
    <t>Đường giao thông từ đồn biên phòng 765 đi thôn Thuận Nghĩa xã Thuận Hạnh</t>
  </si>
  <si>
    <t>7542807</t>
  </si>
  <si>
    <t>Công trình giao thông cấp IV- Miền núi, tổng chiều dài tuyến 17,27 km</t>
  </si>
  <si>
    <t>2016-2020</t>
  </si>
  <si>
    <t>458/QĐ-UBND,
25/3/2016</t>
  </si>
  <si>
    <t>Dự án Sắp xếp dân di cư tự do khu vực Tiểu khu 179, khu vực Tây Sơn, xã Liêng Srônh</t>
  </si>
  <si>
    <t>192 hộ dân, hình thức bố trí tập trung</t>
  </si>
  <si>
    <t>2888/QĐ-UBND ngày 02/12/2021</t>
  </si>
  <si>
    <t xml:space="preserve">Xã Thuận Hạnh </t>
  </si>
  <si>
    <t xml:space="preserve"> 2074/QĐ-UBND ngày 10/08/2021</t>
  </si>
  <si>
    <t>ĐỐI ỨNG CHƯƠNG TRÌNH MỤC TIÊU QUỐC GIA</t>
  </si>
  <si>
    <t>Ghi chú</t>
  </si>
  <si>
    <t>Nâng cấp mở rộng tuyến đường từ ngã ba La Văn Cầu đi Đài tưởng niệm huyện Tuy Đức</t>
  </si>
  <si>
    <t>xã Tuy Đức</t>
  </si>
  <si>
    <t>2305/QĐ-UBND ngày 29/12/2023</t>
  </si>
  <si>
    <t>Đối ứng chương trình mục tiêu quốc gia</t>
  </si>
  <si>
    <t>Ban QLR PH D'Ran</t>
  </si>
  <si>
    <t>Trồng rừng trên đất trống có diện tích dưới 0,3ha trồng năm 2025 (3,2ha)</t>
  </si>
  <si>
    <t>Xã Đơn Dương
Xã D'Ran</t>
  </si>
  <si>
    <t>Dự án thành phần hồ thôn 2, xã Quảng Tâm, huyện Tuy Đức thuộc dự án Sửa chữa, nâng cấp các hồ chứa nước</t>
  </si>
  <si>
    <t>247/QĐ-STC ngày 23/9/2025</t>
  </si>
  <si>
    <t>Ngân hàng chính sách xã hội tỉnh</t>
  </si>
  <si>
    <t>Bố trí cho các dự án đã hoàn thành chưa bố trí đủ vốn</t>
  </si>
  <si>
    <t>Đường giao thông thôn 9 xã Lộc An, huyện Bảo Lâm</t>
  </si>
  <si>
    <t>Xây dựng đường giao thông thôn 1 xã Lộc Tân (Kết nối thành phố Bảo Lộc)</t>
  </si>
  <si>
    <t>XD đường GT thôn 8 đi thôn B'Đơ</t>
  </si>
  <si>
    <t>XD đường giao thông thôn 9 xã Lộc Ngãi</t>
  </si>
  <si>
    <t>Đường GT thôn 1 xã B'Lá</t>
  </si>
  <si>
    <t>2952/QĐ-UBND 
 ngày 31/10/2019</t>
  </si>
  <si>
    <t>3725/QĐ-UBND 
 ngày 28/09/2022</t>
  </si>
  <si>
    <t>2675a/QĐ-UBND 
 ngày 03/10/2019</t>
  </si>
  <si>
    <t>2875a/QĐ-UBND 
 ngày 17/10/2014</t>
  </si>
  <si>
    <t>2934/QĐ-UBND 
 ngày 31/10/2019</t>
  </si>
  <si>
    <t>Trung Tâm phát triển quỹ đất</t>
  </si>
  <si>
    <t>Dự án đầu tư xây dựng đường bộ cao tốc Bảo Lộc - Liên Khương theo phương thức đối tác công tư (giai đoạn 1)</t>
  </si>
  <si>
    <t>73,62 km công trình giao thông đường bộ cấp I</t>
  </si>
  <si>
    <t>669/QĐ-UBND ngày 31/3/2025</t>
  </si>
  <si>
    <t xml:space="preserve">Hồ Thanh niên xung phong tiền trạm </t>
  </si>
  <si>
    <t xml:space="preserve">4443/QĐ-UBND
 ngày 30/11/2020 của UBND huyện Lâm Hà  </t>
  </si>
  <si>
    <t>Tỉnh Đồng Nai</t>
  </si>
  <si>
    <t>2229A/QĐ-UBND ngày 29/10/2018</t>
  </si>
  <si>
    <t>Hệ thống cơ sở dữ liệu không gian địa lý dùng chung tỉnh Lâm Đồng</t>
  </si>
  <si>
    <t>Xã Nam Hà Lâm Hà</t>
  </si>
  <si>
    <t>Xã Đinh Văn Lâm Hà</t>
  </si>
  <si>
    <t>Xã Phúc Thọ Lâm Hà</t>
  </si>
  <si>
    <t>Đường GTNT thôn thạch thất 2 xã Tân Hà</t>
  </si>
  <si>
    <t>3116/QĐ-UBND ngày 31/10/2016 UBND huyện Lâm Hà</t>
  </si>
  <si>
    <t>Trường Mẫu giáo Đạ Đờn</t>
  </si>
  <si>
    <t>xã Phú Sơn Lâm Hà</t>
  </si>
  <si>
    <t>1172/QĐ-UBND 
ngày 24/4/2023 của UBND huyện Lâm Hà  (cũ)</t>
  </si>
  <si>
    <t>xã Tân Hà Lâm Hà</t>
  </si>
  <si>
    <t>KHOA HỌC, CÔNG NGHỆ ĐỔI MỚI SÁNG TẠO VÀ CHUYỂN ĐỔI SỐ</t>
  </si>
  <si>
    <t xml:space="preserve">Dự án ổn định dân di cư tự do thôn Đan Hà, Thống Nhất, Phượng Lâm và Tân Lập xã Đan Phượng </t>
  </si>
  <si>
    <t>số 2644/QĐ-UBND ngày 18/11/2020 của UBND tỉnh Lâm Đồng</t>
  </si>
  <si>
    <t>Trung tâm phát triển quỹ đất</t>
  </si>
  <si>
    <t>2.1</t>
  </si>
  <si>
    <t>3.1</t>
  </si>
  <si>
    <t>3.2</t>
  </si>
  <si>
    <t>4.1</t>
  </si>
  <si>
    <t>Cấp nước tập trung xã Quảng Tín, huyện Đắk R'lấp</t>
  </si>
  <si>
    <t>Cấp nước tập trung xã Đắk Sin, huyện Đắk R'lấp</t>
  </si>
  <si>
    <t>Cấp nước tập trung xã Tân Thành, huyện Krông Nô</t>
  </si>
  <si>
    <t>Nâng cấp, sửa chữa công trình Cấp nước sinh hoạt xã Nhân Cơ, huyện Đắk R'lấp</t>
  </si>
  <si>
    <t>210/QĐ-STC ngày 31/12/2021</t>
  </si>
  <si>
    <t>211/QĐ-STC ngày 31/12/2021</t>
  </si>
  <si>
    <t>216/QĐ-STC ngày 31/12/2021</t>
  </si>
  <si>
    <t>12/QĐ-STC, ngày 25/01/2022</t>
  </si>
  <si>
    <t>Sở Nội vụ</t>
  </si>
  <si>
    <t>439/QĐ-SKHĐT ngày 17/11/2023</t>
  </si>
  <si>
    <t>600/QĐ-STC ngày 20/11/2025</t>
  </si>
  <si>
    <t>Sàn giao dịch việc làm điện tử</t>
  </si>
  <si>
    <t>2335/QĐ-UBND ngày 18/6/2025</t>
  </si>
  <si>
    <t>BẢO ĐẢM XÃ HỘI</t>
  </si>
  <si>
    <t>1.1</t>
  </si>
  <si>
    <t>c</t>
  </si>
  <si>
    <t>Dự án khởi công mới</t>
  </si>
  <si>
    <t>QT</t>
  </si>
  <si>
    <t>5.1</t>
  </si>
  <si>
    <t>6</t>
  </si>
  <si>
    <t>6.1</t>
  </si>
  <si>
    <t>7.1</t>
  </si>
  <si>
    <t>7</t>
  </si>
  <si>
    <t xml:space="preserve">Dự án khởi công mới </t>
  </si>
  <si>
    <t>8.1</t>
  </si>
  <si>
    <t xml:space="preserve"> 1482/QĐ-UBND ngày 5/09/2022</t>
  </si>
  <si>
    <t xml:space="preserve"> 133/QĐ-UBND ngày 30/8/2023</t>
  </si>
  <si>
    <t>213/QĐ-STC ngày 31/12/2021</t>
  </si>
  <si>
    <t>2426/QĐ-UBND ngày 25/6/2025</t>
  </si>
  <si>
    <t>10.1</t>
  </si>
  <si>
    <t>11.1</t>
  </si>
  <si>
    <t>12.1</t>
  </si>
  <si>
    <t>13.1</t>
  </si>
  <si>
    <t>14.1</t>
  </si>
  <si>
    <t>15.1</t>
  </si>
  <si>
    <t>16.1</t>
  </si>
  <si>
    <t>17</t>
  </si>
  <si>
    <t>17.1</t>
  </si>
  <si>
    <t>18</t>
  </si>
  <si>
    <t>18.1</t>
  </si>
  <si>
    <t>3</t>
  </si>
  <si>
    <t>9.1</t>
  </si>
  <si>
    <t>8</t>
  </si>
  <si>
    <t>10</t>
  </si>
  <si>
    <t>11</t>
  </si>
  <si>
    <t>12</t>
  </si>
  <si>
    <t>13</t>
  </si>
  <si>
    <t>14</t>
  </si>
  <si>
    <t>15</t>
  </si>
  <si>
    <t>16</t>
  </si>
  <si>
    <t>19</t>
  </si>
  <si>
    <t>19.1</t>
  </si>
  <si>
    <t>20</t>
  </si>
  <si>
    <t>20.1</t>
  </si>
  <si>
    <t>21</t>
  </si>
  <si>
    <t>21.1</t>
  </si>
  <si>
    <t>22</t>
  </si>
  <si>
    <t>22.1</t>
  </si>
  <si>
    <t>23</t>
  </si>
  <si>
    <t>23.1</t>
  </si>
  <si>
    <t>24</t>
  </si>
  <si>
    <t>24.1</t>
  </si>
  <si>
    <t>25</t>
  </si>
  <si>
    <t>25.1</t>
  </si>
  <si>
    <t>26</t>
  </si>
  <si>
    <t>26.1</t>
  </si>
  <si>
    <t>27</t>
  </si>
  <si>
    <t>28</t>
  </si>
  <si>
    <t>28.1</t>
  </si>
  <si>
    <t>29</t>
  </si>
  <si>
    <t>30</t>
  </si>
  <si>
    <t>30.1</t>
  </si>
  <si>
    <t>31</t>
  </si>
  <si>
    <t>31.1</t>
  </si>
  <si>
    <t>32</t>
  </si>
  <si>
    <t>32.1</t>
  </si>
  <si>
    <t>33</t>
  </si>
  <si>
    <t>33.1</t>
  </si>
  <si>
    <t>9</t>
  </si>
  <si>
    <t>27.1</t>
  </si>
  <si>
    <t>29.1</t>
  </si>
  <si>
    <t>5</t>
  </si>
  <si>
    <t>Khởi công mới</t>
  </si>
  <si>
    <t>1.2</t>
  </si>
  <si>
    <t>Sở Y tế</t>
  </si>
  <si>
    <t>11.2</t>
  </si>
  <si>
    <t>11.3</t>
  </si>
  <si>
    <t>11.4</t>
  </si>
  <si>
    <t>11.5</t>
  </si>
  <si>
    <t>11.6</t>
  </si>
  <si>
    <t>11.7</t>
  </si>
  <si>
    <t>11.8</t>
  </si>
  <si>
    <t>11.9</t>
  </si>
  <si>
    <t>Các Ban Quản lý dự án Khu vực 1</t>
  </si>
  <si>
    <t>Các Ban quản lý dự án khu vực 3</t>
  </si>
  <si>
    <t>Các Ban quản lý dự án khu vực 2</t>
  </si>
  <si>
    <t>Chủ đầu tư</t>
  </si>
  <si>
    <t>Mã dự án</t>
  </si>
  <si>
    <t>Khoản</t>
  </si>
  <si>
    <t>PHỤ LỤC SỐ 01</t>
  </si>
  <si>
    <t>KẾ HOẠCH VỐN ĐẦU CÔNG NĂM 2026</t>
  </si>
  <si>
    <t>Đơn vị tính: Triệu đồng</t>
  </si>
  <si>
    <t xml:space="preserve">Kế hoạch năm 2025 </t>
  </si>
  <si>
    <t>Ước thực hiện năm 2025</t>
  </si>
  <si>
    <t xml:space="preserve">Kế hoạch năm 2026 </t>
  </si>
  <si>
    <t xml:space="preserve">TW giao </t>
  </si>
  <si>
    <t xml:space="preserve">Địa phương giao </t>
  </si>
  <si>
    <t>TW giao</t>
  </si>
  <si>
    <t>Tỉnh</t>
  </si>
  <si>
    <t>Xã</t>
  </si>
  <si>
    <t>2=3+4</t>
  </si>
  <si>
    <t>7=8+9</t>
  </si>
  <si>
    <t>TỔNG CỘNG</t>
  </si>
  <si>
    <t>Chi đầu tư phát triển từ nguồn ngân sách địa phương</t>
  </si>
  <si>
    <t>Chi đầu tư XDCB vốn tập trung trong nước</t>
  </si>
  <si>
    <t>Phân cấp đầu năm</t>
  </si>
  <si>
    <t>Chi đầu tư từ các nguồn phát sinh trong năm 2025 (Tăng thu, tiết kiệm chi, kết dư năm 2024 và các khoản chi năm 2024 được phép kéo dài sang năm 2025)</t>
  </si>
  <si>
    <t>Chi đầu tư từ nguồn thu tiền sử dụng đất</t>
  </si>
  <si>
    <t>Chi đầu tư từ nguồn thu xổ số kiến thiết</t>
  </si>
  <si>
    <t>Chi đầu tư từ nguồn bội chi NSĐP</t>
  </si>
  <si>
    <t xml:space="preserve"> *</t>
  </si>
  <si>
    <t>Trong đó: đối ứng thực hiện các Chương trình mục tiêu quốc gia</t>
  </si>
  <si>
    <t>Chương trình MTQG xây dựng nông thôn mới</t>
  </si>
  <si>
    <t>Chương trình MTQG giảm nghèo bền vững</t>
  </si>
  <si>
    <t>Chương trình MTQG phát triển kinh tế xã hội vùng đồng bào dân tộc thiểu số và miền núi</t>
  </si>
  <si>
    <t>Chi từ nguồn bổ sung có mục tiêu của NS cấp trên</t>
  </si>
  <si>
    <t>Kinh phí thực hiện các chương trình mục tiêu quốc gia</t>
  </si>
  <si>
    <t xml:space="preserve"> -</t>
  </si>
  <si>
    <t>Giao đầu năm</t>
  </si>
  <si>
    <t>Bổ sung trong năm</t>
  </si>
  <si>
    <t>Chuyển nhiệm chi từ năm 2024 sang năm 2025</t>
  </si>
  <si>
    <t>Bổ sung vốn đầu tư để thực hiện các dự án, nhiệm vụ</t>
  </si>
  <si>
    <t>Vốn ngoài nước</t>
  </si>
  <si>
    <t>Vốn trong nước</t>
  </si>
  <si>
    <t>Thực hiện Nghị quyết số 57-NQ/TW và Kế hoạch số 02-KH/BCĐTW</t>
  </si>
  <si>
    <t>Thực hiện Thông báo Kết luận số 81-TB/TW của Bộ Chính trị về chủ trương đầu tư xây dựng trường học cho các xã biên giới</t>
  </si>
  <si>
    <t>Quyết định số 2273/QĐ-TTg ngày 16/10/2025 của Thủ tướng Chính phủ về việc điều chỉnh dự toán và kế hoạch đầu tư công vốn ngân sách trung ương năm 2025 giữa các bộ, cơ quan trung ương, địa phương</t>
  </si>
  <si>
    <t>DỰ TOÁN CHI ĐẦU TƯ PHÁT TRIỂN NĂM 2026 CỦA CÁC XÃ/PHƯỜNG/ĐẶC KHU</t>
  </si>
  <si>
    <t xml:space="preserve">Xã/phường/Đặc khu </t>
  </si>
  <si>
    <t>Các xã trước sắp xếp</t>
  </si>
  <si>
    <t>Kế hoạch năm 2026</t>
  </si>
  <si>
    <t xml:space="preserve">Tổng số </t>
  </si>
  <si>
    <t xml:space="preserve">Chi xây dựng cơ bản vốn tập trung trong nước được phân cấp </t>
  </si>
  <si>
    <t xml:space="preserve">Từ nguồn thu tiền sử dụng đất được để lại chi đầu tư </t>
  </si>
  <si>
    <t xml:space="preserve">Hỗ trợ có mục tiêu từ ngân sách tỉnh </t>
  </si>
  <si>
    <t>4 = 5+6+7</t>
  </si>
  <si>
    <t>Phường 1, Phường 2, Phường 3, Phường 4, Phường 10 (Đà Lạt)</t>
  </si>
  <si>
    <t>Phường 5, Phường 6, Tà Nung</t>
  </si>
  <si>
    <t>Phường 8, Phường 9, Phường 12</t>
  </si>
  <si>
    <t>Phường Xuân Trường - Đà Lạt</t>
  </si>
  <si>
    <t>Phường 11, Xuân Thọ, Xuân Trường, Trạm Hành</t>
  </si>
  <si>
    <t>Phường 7, Lạc Dương, Lát</t>
  </si>
  <si>
    <t>Đạ Sar, Đạ Nhim, Đạ Chais</t>
  </si>
  <si>
    <t>Phường 1, Lộc Phát, Lộc Thanh (Bảo Lộc)</t>
  </si>
  <si>
    <t>Phường 2, Lộc Tân, ĐamBri (Bảo Lộc)</t>
  </si>
  <si>
    <t>Lộc Tiến, Lộc Châu, Đại Lào (Bảo Lộc)</t>
  </si>
  <si>
    <t>Phường B'Lao</t>
  </si>
  <si>
    <t>Lộc Sơn, B’Lao, Lộc Nga (Bảo Lộc)</t>
  </si>
  <si>
    <t>Lộc Thắng, Lộc Quảng, Lộc Ngãi</t>
  </si>
  <si>
    <t>Lộc An, Lộc Đức, Tân Lạc</t>
  </si>
  <si>
    <t>Xã Bảo Lâm 3</t>
  </si>
  <si>
    <t>Lộc Thành, Lộc Nam</t>
  </si>
  <si>
    <t>Lộc Phú, Lộc Lâm, B’Lá</t>
  </si>
  <si>
    <t>Xã Bảo Lâm 5</t>
  </si>
  <si>
    <t>Lộc Bảo, Lộc Bắc</t>
  </si>
  <si>
    <t>Xã Di Linh</t>
  </si>
  <si>
    <t>Di Linh, Liên Đầm, Tân Châu, Gung Ré</t>
  </si>
  <si>
    <t>Xã Hòa Ninh</t>
  </si>
  <si>
    <t>Đinh Trang Hòa, Hòa Trung, Hòa Ninh</t>
  </si>
  <si>
    <t>Xã Hòa Bắc</t>
  </si>
  <si>
    <t>Hòa Nam, Hòa Bắc</t>
  </si>
  <si>
    <t>Tân Lâm, Tân Thượng, Đinh Trang Thượng</t>
  </si>
  <si>
    <t>Xã Bảo Thuận</t>
  </si>
  <si>
    <t>Đinh Lạc, Tân Nghĩa, Bảo Thuận</t>
  </si>
  <si>
    <t>Xã Sơn Điền</t>
  </si>
  <si>
    <t>Gia Bắc, Sơn Điền</t>
  </si>
  <si>
    <t>Tam Bố, Gia Hiệp</t>
  </si>
  <si>
    <t>Hiệp An, Liên Hiệp, Hiệp Thạnh</t>
  </si>
  <si>
    <t>Liên Nghĩa, Phú Hội</t>
  </si>
  <si>
    <t>Ninh Gia</t>
  </si>
  <si>
    <t>Xã Tân Hội</t>
  </si>
  <si>
    <t>Tân Thành (Đức Trọng), N’Thôn Hạ, Tân Hội</t>
  </si>
  <si>
    <t>Xã Tà Hine</t>
  </si>
  <si>
    <t>Ninh Loan, Đà Loan, Tà Hine</t>
  </si>
  <si>
    <t>Đa Quyn, Tà Năng</t>
  </si>
  <si>
    <t>Thạnh Mỹ, Đạ Ròn, Tu Tra</t>
  </si>
  <si>
    <t>Xã Ka Đô</t>
  </si>
  <si>
    <t>Lạc Lâm, Ka Đô</t>
  </si>
  <si>
    <t>Ka Đơn, Quảng Lập</t>
  </si>
  <si>
    <t>D’Ran, Lạc Xuân</t>
  </si>
  <si>
    <t>Bình Thạnh (Đức Trọng), Tân Văn, Đinh Văn</t>
  </si>
  <si>
    <t>Xã Phú Sơn Lâm Hà</t>
  </si>
  <si>
    <t>Phú Sơn, Đạ Đờn</t>
  </si>
  <si>
    <t>Nam Hà, Phi Tô</t>
  </si>
  <si>
    <t>Nam Ban, Đông Thanh, Mê Linh, Gia Lâm</t>
  </si>
  <si>
    <t>Xã Tân Hà Lâm Hà</t>
  </si>
  <si>
    <t>Tân Hà (Lâm Hà), Hoài Đức, Đan Phượng, Liên Hà</t>
  </si>
  <si>
    <t>Phúc Thọ, Tân Thanh</t>
  </si>
  <si>
    <t>Phi Liêng, Đạ K’Nàng</t>
  </si>
  <si>
    <t>Rô Men, Liêng Srônh</t>
  </si>
  <si>
    <t>Xã Đam Rông 3</t>
  </si>
  <si>
    <t>Đạ Rsal, Đạ M’Rông</t>
  </si>
  <si>
    <t>Đạ Tông, Đạ Long, Đưng K’Nớ</t>
  </si>
  <si>
    <t>Mađaguôi (thị trấn + xã), Đạ Oai</t>
  </si>
  <si>
    <t>Đạ M’ri, Hà Lâm</t>
  </si>
  <si>
    <t>Xã Đạ Huoai 3</t>
  </si>
  <si>
    <t>Bà Gia</t>
  </si>
  <si>
    <t>Đạ Tẻh, An Nhơn, Đạ Lây</t>
  </si>
  <si>
    <t>Quảng Trị, Đạ Pal, Đạ Kho</t>
  </si>
  <si>
    <t>Xã Đạ Tẻh 3</t>
  </si>
  <si>
    <t>Mỹ Đức, Quốc Oai</t>
  </si>
  <si>
    <t>Cát Tiên, Nam Ninh, Quảng Ngãi</t>
  </si>
  <si>
    <t>Phước Cát, Phước Cát 2, Đức Phổ</t>
  </si>
  <si>
    <t>Gia Viễn, Tiên Hoàng, Đồng Nai Thượng</t>
  </si>
  <si>
    <t>Ea Pô, Đắk Wil</t>
  </si>
  <si>
    <t>Đắk D’rông, Nam Dong</t>
  </si>
  <si>
    <t>Ea T’ling, Trúc Sơn, Tâm Thắng, Cư K’nia</t>
  </si>
  <si>
    <t>Xã Nam Đà</t>
  </si>
  <si>
    <t>Buôn Choáh, Đắk Sôr, Nam Đà</t>
  </si>
  <si>
    <t>Xã Krông Nô</t>
  </si>
  <si>
    <t>Tân Thành (Krông Nô), Đắk Drô, Đắk Mâm</t>
  </si>
  <si>
    <t>Xã Nâm Nung</t>
  </si>
  <si>
    <t>Nâm N’Đir, Nâm Nung</t>
  </si>
  <si>
    <t>Xã Quảng Phú</t>
  </si>
  <si>
    <t>Đức Xuyên, Đắk Nang, Quảng Phú</t>
  </si>
  <si>
    <t>Đắk Lao, Thuận An</t>
  </si>
  <si>
    <t>Đắk Mil, Đức Mạnh, Đức Minh</t>
  </si>
  <si>
    <t>Đắk Gằn, Đắk N’Drót, Đắk R’La</t>
  </si>
  <si>
    <t>Xã Đắk Sắk</t>
  </si>
  <si>
    <t>Nam Xuân, Long Sơn, Đắk Sắk</t>
  </si>
  <si>
    <t>Đắk Môl, Đắk Hòa</t>
  </si>
  <si>
    <t>Đức An, Đắk N’Drung, Nam Bình</t>
  </si>
  <si>
    <t>Thuận Hà, Thuận Hạnh</t>
  </si>
  <si>
    <t>Xã Trường Xuân</t>
  </si>
  <si>
    <t>Nâm N’Jang, Trường Xuân</t>
  </si>
  <si>
    <t>Nghĩa Phú, Nghĩa Tân, Đắk R’Moan</t>
  </si>
  <si>
    <t>Quảng Thành, Nghĩa Thành, Nghĩa Đức, Đắk Ha</t>
  </si>
  <si>
    <t>Nghĩa Trung, Đắk Nia</t>
  </si>
  <si>
    <t>Xã Tà Đùng</t>
  </si>
  <si>
    <t>Đắk Som, Đắk R’Măng</t>
  </si>
  <si>
    <t>Xã Quảng Khê</t>
  </si>
  <si>
    <t>Đắk Plao, Quảng Khê</t>
  </si>
  <si>
    <t>Xã Quảng Hòa</t>
  </si>
  <si>
    <t>Quảng Hòa</t>
  </si>
  <si>
    <t>Quảng Sơn</t>
  </si>
  <si>
    <t>Xã Kiến Đức</t>
  </si>
  <si>
    <t>Kiến Đức, Đạo Nghĩa, Nghĩa Thắng, Kiến Thành</t>
  </si>
  <si>
    <t>Nhân Đạo, Đắk Wer, Nhân Cơ</t>
  </si>
  <si>
    <t>Xã Quảng Tín</t>
  </si>
  <si>
    <t>Đắk Sin, Hưng Bình, Đắk Ru, Quảng Tín</t>
  </si>
  <si>
    <t>Đắk Ngo, Quảng Tân</t>
  </si>
  <si>
    <t>Quảng Tâm, Đắk R’Tíh, Đắk Búk So</t>
  </si>
  <si>
    <t>Quảng Trực</t>
  </si>
  <si>
    <t>Đức Long, Tiến Thành</t>
  </si>
  <si>
    <t>Tân Hà (Hàm Tân), Tân Xuân, Tân Nghĩa</t>
  </si>
  <si>
    <t>Phan Rí Cửa, Chí Công, Hòa Minh, phần còn lại của Phong Phú</t>
  </si>
  <si>
    <t>Tân Tiến, Tân Hải</t>
  </si>
  <si>
    <t>Xã Hoài Đức</t>
  </si>
  <si>
    <t>Đức Tài, Đức Tín, Đức Hạnh</t>
  </si>
  <si>
    <t>Lạc Tánh, Gia An, Đức Thuận</t>
  </si>
  <si>
    <t>Võ Xu, Nam Chính, Vũ Hòa</t>
  </si>
  <si>
    <t>Phước Lộc, Phước Hội, Tân Phước</t>
  </si>
  <si>
    <t>Ma Lâm, Thuận Minh, Hàm Đức</t>
  </si>
  <si>
    <t>Hồng Liêm, Hồng Sơn</t>
  </si>
  <si>
    <t>Phú Trinh, Lạc Đạo, Bình Hưng</t>
  </si>
  <si>
    <t>Long Hải, Ngũ Phụng, Tam Thanh</t>
  </si>
  <si>
    <t>Xã Bắc Ruộng</t>
  </si>
  <si>
    <t>Măng Tố, Bắc Ruộng</t>
  </si>
  <si>
    <t>Tiến Lợi, Hàm Mỹ</t>
  </si>
  <si>
    <t>Mỹ Thạnh, Hàm Cần, Hàm Thạnh</t>
  </si>
  <si>
    <t>Mê Pu, Sùng Nhơn, Đa Kai</t>
  </si>
  <si>
    <t>Vĩnh Tân, Vĩnh Hảo</t>
  </si>
  <si>
    <t>Thuận Hòa, Hàm Trí, Hàm Phú</t>
  </si>
  <si>
    <t>Chợ Lầu, Phan Hòa, Phan Hiệp, Phan Rí Thành</t>
  </si>
  <si>
    <t>Tân Hà (Đức Linh), Đông Hà, Trà Tân</t>
  </si>
  <si>
    <t>Liên Hương, Bình Thạnh (Tuy Phong), Phước Thể, Phú Lạc</t>
  </si>
  <si>
    <t>Xã Tuy Phong</t>
  </si>
  <si>
    <t>Phan Dũng, một phần Phong Phú</t>
  </si>
  <si>
    <t>Xã Hồng Thái</t>
  </si>
  <si>
    <t>Phan Thanh, Hồng Thái, một phần Hòa Thắng</t>
  </si>
  <si>
    <t>Xã Hải Ninh</t>
  </si>
  <si>
    <t>Bình An, Phan Điền, Hải Ninh</t>
  </si>
  <si>
    <t>Xã Phan Sơn</t>
  </si>
  <si>
    <t>Phan Lâm, Phan Sơn</t>
  </si>
  <si>
    <t>Phan Tiến, Bình Tân, Sông Lũy</t>
  </si>
  <si>
    <t>Lương Sơn, Sông Bình</t>
  </si>
  <si>
    <t>Hồng Phong, phần còn lại của Hòa Thắng</t>
  </si>
  <si>
    <t>Đông Tiến, Đông Giang</t>
  </si>
  <si>
    <t>Đa Mi, La Dạ</t>
  </si>
  <si>
    <t>Hàm Chính, Hàm Liêm</t>
  </si>
  <si>
    <t>Xuân An, Phú Long, Hàm Thắng</t>
  </si>
  <si>
    <t>Phú Tài, Phong Nẫm, Hàm Hiệp</t>
  </si>
  <si>
    <t>Hàm Tiến, Mũi Né, Thiện Nghiệp</t>
  </si>
  <si>
    <t>Thanh Hải, Phú Hài, Phú Thủy</t>
  </si>
  <si>
    <t>Mương Mán, Hàm Cường, Hàm Kiệm</t>
  </si>
  <si>
    <t>Xã Tân Thành</t>
  </si>
  <si>
    <t>Tân Thành (Hàm Thuận Nam), Thuận Quý, Tân Thuận</t>
  </si>
  <si>
    <t>Thuận Nam, Hàm Minh</t>
  </si>
  <si>
    <t>Xã Tân Lập</t>
  </si>
  <si>
    <t>Sông Phan, Tân Lập</t>
  </si>
  <si>
    <t>Xã Tân Minh</t>
  </si>
  <si>
    <t>Tân Minh, Tân Đức, Tân Phúc</t>
  </si>
  <si>
    <t>Tân Thắng, Thắng Hải, Sơn Mỹ</t>
  </si>
  <si>
    <t xml:space="preserve">Phường La Gi </t>
  </si>
  <si>
    <t>Tân An, Bình Tân, Tân Thiện, Tân Bình</t>
  </si>
  <si>
    <t>Đức Phú, Nghị Đức</t>
  </si>
  <si>
    <t>Xã Đồng Kho</t>
  </si>
  <si>
    <t>Huy Khiêm, La Ngâu, Đức Bình, Đồng Kho</t>
  </si>
  <si>
    <t>Xã Suối Kiết</t>
  </si>
  <si>
    <t>Gia Huynh, Suối Kiết</t>
  </si>
  <si>
    <t>TT</t>
  </si>
  <si>
    <t>Địa điểm XD</t>
  </si>
  <si>
    <t>Thời gian KC-HT</t>
  </si>
  <si>
    <t>Số Quyết định  phê duyệt dự án đầu tư</t>
  </si>
  <si>
    <t>Giá trị khối lượng từ khởi công đến 31/12/2025</t>
  </si>
  <si>
    <t>Dự kiến Kế hoạch 2026-2030</t>
  </si>
  <si>
    <t>NSTW</t>
  </si>
  <si>
    <t>NS tỉnh</t>
  </si>
  <si>
    <t>Công an tỉnh</t>
  </si>
  <si>
    <t>Mua sắm xe chở nước phục vụ công tác tiếp nước chữa cháy</t>
  </si>
  <si>
    <t>Tại 04 đội Cảnh sát Phòng cháy chữa cháy và cứu nạn cứu hộ tỉnh Lâm Đồng</t>
  </si>
  <si>
    <t>Đường  từ ngã tư Lê Duẩn - Trường Chinh đến nút giao cao tốc và quỹ đất 02 bên đường</t>
  </si>
  <si>
    <t>Sở Giáo dục và Đào tạo</t>
  </si>
  <si>
    <t>Trong đó: Chi khoa học, công nghệ, đổi mới sáng tạo và chuyển đổi số</t>
  </si>
  <si>
    <t>PHỤ LỤC SỐ 02</t>
  </si>
  <si>
    <t>Thu sử dụng đất</t>
  </si>
  <si>
    <t>Ngân sách tập trung</t>
  </si>
  <si>
    <t xml:space="preserve">Bội chi </t>
  </si>
  <si>
    <t>Thu xổ số kiến thiết</t>
  </si>
  <si>
    <t>Trung tâm bảo trợ xã hội tỉnh Đắk Nông</t>
  </si>
  <si>
    <t>4</t>
  </si>
  <si>
    <t>Bố trí dứt điểm</t>
  </si>
  <si>
    <t>1.3</t>
  </si>
  <si>
    <t>1.4</t>
  </si>
  <si>
    <t>1.5</t>
  </si>
  <si>
    <t>1.6</t>
  </si>
  <si>
    <t>1.7</t>
  </si>
  <si>
    <t>1.8</t>
  </si>
  <si>
    <t>1.9</t>
  </si>
  <si>
    <t>1.10</t>
  </si>
  <si>
    <t>12.2</t>
  </si>
  <si>
    <t>12.3</t>
  </si>
  <si>
    <t>12.4</t>
  </si>
  <si>
    <t>12.5</t>
  </si>
  <si>
    <t>12.6</t>
  </si>
  <si>
    <t>12.7</t>
  </si>
  <si>
    <t>12.8</t>
  </si>
  <si>
    <t>12.9</t>
  </si>
  <si>
    <t>Hoàn thành sau năm 2026</t>
  </si>
  <si>
    <t>PHÁT THANH, TRUYỀN HÌNH VÀ THÔNG TẤN</t>
  </si>
  <si>
    <t>Báo và PTTH Lâm Đồng</t>
  </si>
  <si>
    <t>Dự án Xây dựng Đài phát thanh - Truyền hình Lâm Đồng</t>
  </si>
  <si>
    <t>1110/QĐ-UBND ngày 06/6/2023</t>
  </si>
  <si>
    <t>11.10</t>
  </si>
  <si>
    <t>11.11</t>
  </si>
  <si>
    <t>Dự kiến kế hoạch ĐTC TH 2026-2030</t>
  </si>
  <si>
    <t>Đang trình UBND tỉnh điều chỉnh TMĐT</t>
  </si>
  <si>
    <t>Số Quyết định phê duyệt chủ trương/dự án đầu tư</t>
  </si>
  <si>
    <t>Xã Đam Rông 2 và Đam Rông 3</t>
  </si>
  <si>
    <t>23km theo tiêu chuẩn đường cấp III miền núi, 1 số đoạn theo QH đô thị</t>
  </si>
  <si>
    <t>xã Hồng Sơn</t>
  </si>
  <si>
    <t>7042955</t>
  </si>
  <si>
    <t>8135836</t>
  </si>
  <si>
    <t>Nguồn lực đăng ký với TW là 715 tỷ đồng</t>
  </si>
  <si>
    <t>I.1</t>
  </si>
  <si>
    <t>DANH MỤC CÁC CHƯƠNG TRÌNH, DỰ ÁN SỬ DỤNG VỐN NGÂN SÁCH NHÀ NƯỚC NĂM 2026 - NGUỒN VỐN NƯỚC NGOÀI</t>
  </si>
  <si>
    <t>DANH MỤC CÁC CHƯƠNG TRÌNH, DỰ ÁN SỬ DỤNG VỐN NGÂN SÁCH NHÀ NƯỚC NĂM 2026 - NGÂN SÁCH TRUNG ƯƠNG (VỐN TRONG NƯỚC)</t>
  </si>
  <si>
    <t>DANH MỤC CÁC CHƯƠNG TRÌNH, DỰ ÁN SỬ DỤNG VỐN NGÂN SÁCH NHÀ NƯỚC NĂM 2026 - NGÂN SÁCH ĐỊA PHƯƠNG</t>
  </si>
  <si>
    <t>I.2</t>
  </si>
  <si>
    <t>I.3</t>
  </si>
  <si>
    <t xml:space="preserve"> </t>
  </si>
  <si>
    <t>Chuẩn bị đầu tư</t>
  </si>
  <si>
    <t>giảm</t>
  </si>
  <si>
    <t>Xét xét có nguồn bổ sung thêm cho dự án này vì không vướng mắc gì, đang thi công giải ngân tốt</t>
  </si>
  <si>
    <t>Trường tiểu học Phan Bội Châu; Hạng mục: 08 phòng học lầu, 01nhà hiệu bộ, 01 nhà vệ sinh và trang thiết bị</t>
  </si>
  <si>
    <t>8067284</t>
  </si>
  <si>
    <t>08 phòng học lầu, 01nhà hiệu bộ, 01 nhà vệ sinh và trang thiết bị</t>
  </si>
  <si>
    <t>số 1992/QĐ-UBND ngày 5/12/2023</t>
  </si>
  <si>
    <t>Đầu tư các công trình hạ tầng kỹ thuật và các hạng mục còn lại của dự án Hồ Gia Nghĩa</t>
  </si>
  <si>
    <t>2018-2024</t>
  </si>
  <si>
    <t xml:space="preserve">1682/QĐ-UBND 19/10/2017;  963/QĐ-UBND ngày 7/6/2024 </t>
  </si>
  <si>
    <t>Xây dựng vỉa hè và sửa chữa mặt đường khu vực trung tâm xã Đắk Sin</t>
  </si>
  <si>
    <t>245/QĐ-UBND ngày 26/2/2025</t>
  </si>
  <si>
    <t>PHỤ LỤC SỐ 05</t>
  </si>
  <si>
    <t>Xây dựng mới, nâng cấp, sửa chữa, cải tạo một số hạng mục và mua sắm trang thiết bị Trường PTDTNT THCS và THPT tỉnh Lâm Đồng</t>
  </si>
  <si>
    <t>Các xã (thuộc Lâm Đồng cũ)</t>
  </si>
  <si>
    <t>Ban QLDA ĐTXD đặc khu Phú quý</t>
  </si>
  <si>
    <t>(Kèm theo Tờ trình số     /TTr-UBND, ngày      tháng 12 năm 2025 của Uỷ ban nhân dân tỉnh Lâm Đồng)</t>
  </si>
  <si>
    <t>Dự án dừng thực hiện</t>
  </si>
  <si>
    <t>Công viên Nam Chợ Ma Lâm</t>
  </si>
  <si>
    <t>5031/QĐ-UBND ngày 10/11/2022</t>
  </si>
  <si>
    <t>Tuyến đường Hàm Liêm - Mương mán tránh trú bão khu vực suối cầu Cẩm Hang, huyện Hàm Thuận Bắc</t>
  </si>
  <si>
    <t>5606/QĐ-UBND ngày 30/9/2019</t>
  </si>
  <si>
    <t>Nâng cấp Bệnh viện huyện Tánh Linh (nay là Trung tâm Y tế huyện Tánh Linh), tỉnh Bình Thuận</t>
  </si>
  <si>
    <t>Mở rộng, nâng cấp Bệnh viện đa khoa thị xã La Gi ( nay là Bệnh viện đa khoa khu vực La Gi), tỉnh Bình Thuận</t>
  </si>
  <si>
    <t>Bệnh viện Phan Thiết</t>
  </si>
  <si>
    <t>Ban Quản lý dự án ĐTXD khu vực Bảo Lâm</t>
  </si>
  <si>
    <t>Trung tâm Y tế huyện Hàm Thuận Bắc, tỉnh Bình Thuận</t>
  </si>
  <si>
    <t>Ban QLDA ĐTXD đặc khu Phú Quý</t>
  </si>
  <si>
    <t>422/QĐ-SKHĐT ngày 28/10/2016; số 720/QĐ-SKHĐT ngày 17/12/2020</t>
  </si>
  <si>
    <t>2255/QĐ-UBND ngày 03/10/2016</t>
  </si>
  <si>
    <t>3567/QĐ-UBND ngày 30/10/2014</t>
  </si>
  <si>
    <t>Trường tiểu học Hòa Thành (các hạng mục còn lại)</t>
  </si>
  <si>
    <t>8070/QĐ-UBND, ngày 31/12/2024</t>
  </si>
  <si>
    <t>Dừng thực hiện dự án</t>
  </si>
  <si>
    <t xml:space="preserve"> Đường thôn Liêm An, xã Hồng Liêm</t>
  </si>
  <si>
    <t>3248/QĐ-UBND, ngày 27/8/2013</t>
  </si>
  <si>
    <t>Tánh Linh</t>
  </si>
  <si>
    <t>2016-2025</t>
  </si>
  <si>
    <t>La Gi</t>
  </si>
  <si>
    <t>Xây dựng 08 phòng học, 03 phòng bộ môn và các phòng hỗ trợ học tập trường tiểu học thị trấn Đạ M’Ri</t>
  </si>
  <si>
    <t>xã Đạ Huoai 2</t>
  </si>
  <si>
    <t>734/QĐ-UBND ngày 11/3/2025</t>
  </si>
  <si>
    <t>Hoàn thiện cơ sở vật chất các trường:  Mẫu giáo Đông Thanh, Tiểu học Đông Thanh và THCS Đông Thanh</t>
  </si>
  <si>
    <t>X.1</t>
  </si>
  <si>
    <t>X.2</t>
  </si>
  <si>
    <t>X.3</t>
  </si>
  <si>
    <t>X.4</t>
  </si>
  <si>
    <t>8.2</t>
  </si>
  <si>
    <t>tt</t>
  </si>
  <si>
    <t>sdđ</t>
  </si>
  <si>
    <t>xs</t>
  </si>
  <si>
    <t>bc</t>
  </si>
  <si>
    <t>Sở Tài chính</t>
  </si>
  <si>
    <t>Điều chỉnh quy hoạch tỉnh Lâm Đồng thời kỳ 2021-2030, tầm nhìn đến năm 2050</t>
  </si>
  <si>
    <t>Trích lập quỹ đo đạc bản đồ cấp tỉnh</t>
  </si>
  <si>
    <t>13.2</t>
  </si>
  <si>
    <t>13.3</t>
  </si>
  <si>
    <t>13.4</t>
  </si>
  <si>
    <t>13.5</t>
  </si>
  <si>
    <t>13.6</t>
  </si>
  <si>
    <t>13.7</t>
  </si>
  <si>
    <t>13.8</t>
  </si>
  <si>
    <t>13.9</t>
  </si>
  <si>
    <t>13.10</t>
  </si>
  <si>
    <t>13.11</t>
  </si>
  <si>
    <t>CHI ĐẦU TƯ KHÁC</t>
  </si>
  <si>
    <t>Bố trí cho các dự án thanh quyết toán</t>
  </si>
  <si>
    <t>Trợ nợ gốc</t>
  </si>
  <si>
    <t>Chia theo nguồn vốn đầu tư và chuẩn bị khởi công mới</t>
  </si>
  <si>
    <t>Lĩnh vực y tế, dân số và gia đình</t>
  </si>
  <si>
    <t>Dự án Đầu tư trang thiết bị y tế cho Đơn vị Tim mạch can thiệp của Bệnh viện Đa khoa Lâm Đồng</t>
  </si>
  <si>
    <t>01 Phạm Ngọc Thạch, phường Cam Ly - Xuân Hương, tỉnh Lâm Đồng</t>
  </si>
  <si>
    <t>Hệ thống TTBYT, Hệ thống an toàn bức xạ, Hệ thống khí sạch</t>
  </si>
  <si>
    <t xml:space="preserve">Đầu tư mua sắm hệ thống CT - Scanner 64 lát cắt cho Bệnh viên Đa khoa Đắk Nông </t>
  </si>
  <si>
    <t>Đường Võ Văn Kiệt, tổ dân phố 4, phường Đông gia Nghĩa, tỉnh Lâm Đồng</t>
  </si>
  <si>
    <t>Đầu tư mua sắm trang thiết bị tiên tiến, hiện đại</t>
  </si>
  <si>
    <t xml:space="preserve">Đầu tư mua sắm hệ thống CT -  Scanner 32 lát cắt và cải tạo, sửa chữa phòng đặt máy thuộc TTYT Quân dân Y đặc khu Phú Quý </t>
  </si>
  <si>
    <t>Đặc khu Phú Quý, tỉnh Lâm Đồng</t>
  </si>
  <si>
    <t>Mua sắm thiết bị y tế, cải tạo sửa chữa phòng đặt máy</t>
  </si>
  <si>
    <t>Lĩnh vực giáo dục - đào tạo và dạy nghề</t>
  </si>
  <si>
    <t>Dự án Mua sắm thiết bị dạy học tối thiểu trên địa bàn tỉnh Lâm Đồng</t>
  </si>
  <si>
    <t>Mua sắm thiết bị dạy học</t>
  </si>
  <si>
    <t>Xây dựng mới các khối phòng học, phòng học bộ môn, khối hành chính quản trị; nâng cấp, sửa chữa, cải tạo một số hạng mục và mua sắm trang thiết bị Trường THPT Nguyễn Bỉnh Khiêm, xã Tà Hine, tỉnh Lâm Đồng</t>
  </si>
  <si>
    <t>Lĩnh vực văn hóa, thông tin</t>
  </si>
  <si>
    <t>Số hoá tư liệu hiện vật Bảo tàng</t>
  </si>
  <si>
    <t>Bảo tàng tỉnh Lâm Đồng</t>
  </si>
  <si>
    <t>Số hóa tư liệu hiện vật</t>
  </si>
  <si>
    <t>Sở Văn hóa, thể thao và Du lịch</t>
  </si>
  <si>
    <t>Lĩnh vực an ninh và trật tự an toàn xã hội</t>
  </si>
  <si>
    <t>1964/QĐ-UBND ngày 03/11/2025 (CT)</t>
  </si>
  <si>
    <t>Công an tỉnh Lâm Đồng</t>
  </si>
  <si>
    <t>Xây dựng nhà tập bắn súng ngắn và cải tạo nâng cấp đại đội cảnh sát cơ động công an tỉnh Lâm Đồng</t>
  </si>
  <si>
    <t>Lĩnh vực quốc phòng</t>
  </si>
  <si>
    <t>Xây dựng Chốt chiến đấu Dân quân thường trực tại xã biên giới Tuy Đức và Đăk Wil</t>
  </si>
  <si>
    <t>Xã biên giới Tuy Đức, Đăk Wil</t>
  </si>
  <si>
    <t>Bộ Chỉ huy quân sự tỉnh Lâm Đồng</t>
  </si>
  <si>
    <t>Các hoạt động kinh kế</t>
  </si>
  <si>
    <t>VI.1</t>
  </si>
  <si>
    <t>Giao thông</t>
  </si>
  <si>
    <t>Xây dựng hoàn thiện tuyến tránh thành phố Bảo Lộc</t>
  </si>
  <si>
    <t>1417/QĐ-UBND ngày 26/6/2025 (CT)</t>
  </si>
  <si>
    <t>Nâng cấp đường nối từ đường ĐT.725, huyện Bảo Lâm, tỉnh Lâm Đồng đến ranh giới tỉnh Đắk Nông (nay là tỉnh Lâm Đồng)</t>
  </si>
  <si>
    <t>KV Bảo Lâm</t>
  </si>
  <si>
    <t>26,5km đường cấp IV miền núi</t>
  </si>
  <si>
    <t>Ban Quản lý dự án Đầu tư xây dựng số 1</t>
  </si>
  <si>
    <t>Dự án Cải tạo, nâng cấp đoạn tuyến từ Km83 - Km106 Quốc lộ 27</t>
  </si>
  <si>
    <t>Cải tạo, nâng cấp Quốc lộ 28 đoạn từ Di Linh đến Gia Nghĩa</t>
  </si>
  <si>
    <t>Các xã thuộc tỉnh Lâm Đồng</t>
  </si>
  <si>
    <t>Ban quản lý dự án đầu tư xây dựng số 3</t>
  </si>
  <si>
    <t>Đầu tư xây dựng tuyến đường động lực Gia Nghĩa - Bảo Lâm, tỉnh Lâm Đồng</t>
  </si>
  <si>
    <t>Phường Đông Gia Nghĩa và xã Bảo Lâm 5</t>
  </si>
  <si>
    <t>Đường Bắc Nam giai đoạn 3, phường Đông Gia Nghĩa, tỉnh Lâm Đồng</t>
  </si>
  <si>
    <t>Phường Đông Gia nghĩa</t>
  </si>
  <si>
    <t>Nâng cấp, sửa chữa đường giao thông từ xã Đạo Nghĩa, huyện Đắk Rlấp (cũ) đi xã Lộc Bắc, huyện Bảo Lâm (cũ)</t>
  </si>
  <si>
    <t>Kiến Đức</t>
  </si>
  <si>
    <t>18,1km</t>
  </si>
  <si>
    <t xml:space="preserve">VI.2 </t>
  </si>
  <si>
    <t>Nông nghiệp, lâm nghiệp, diêm nghiệp, thủy lợi, thủy sản</t>
  </si>
  <si>
    <t>Khắc phục sự cố sụt lún, sạt trượt đất tại thôn Đông Anh, xã Đông Thanh, huyện Lâm Hà (nay là xã Nam Ban Lâm Hà, tỉnh Lâm Đồng)</t>
  </si>
  <si>
    <t>Tổng diện tích 32ha</t>
  </si>
  <si>
    <t>Phường Phan Thiết.</t>
  </si>
  <si>
    <t>Tuyến kè (bao gồm cả khoá kè) dài 492 m kết cấu bằng cọc ván BTCT dự ứng lực SW500A; Đường giao thông dài 604,58 m ; Công viên cây xanh và chiếu sáng diện tích khu đất 23.219 m2; cấp thoát nước và một số hạng mục khác</t>
  </si>
  <si>
    <t>30/NQ-HĐND ngày 12/7/2023</t>
  </si>
  <si>
    <t>Ban Quản lý dự án đầu tư xây dựng khu vực Phan Thiết</t>
  </si>
  <si>
    <t>Dự án nạo vét vùng nước trước cầu cảng và bến cập tàu Khu tránh bão - cảng cá Phan Rí Cửa, nạo vét vùng nước trước bến cập tàu 200-400 cv Khu tránh bão - cảng cá La Gi và nạo vét Vũng đậu/quay tàu và khu nước trước bến neo đậu tàu Khu tránh bão - cảng cá Phú Hải</t>
  </si>
  <si>
    <t>Các xã: Phan Rí Cửa, La Gi, Phú Hải</t>
  </si>
  <si>
    <t>- Với chiều dài 300m tính từ cửa hàng xăng dầu của Công ty Cổ phần thương mại Bình Thuận đến bến đò cũ cảng cá (hướng thượng nguồn), từ cầu cảng ra hướng ra sông 30m. 
- Chiều dài 180m tính từ mặt bến đầu Nhà tập kết phân loại hải sản số 1 đến hết Nhà tập kết phân loại hải sản số 3, từ cầu cảng hướng ra kè chắn sóng DK1 100m
- Với chiều dài khoảng 400m dọc bến 200-400CV, nạo vét ra hướng đê tả 70m</t>
  </si>
  <si>
    <t>Ban Quản lý các cảng cá tỉnh Lâm Đồng</t>
  </si>
  <si>
    <t xml:space="preserve"> Sửa chữa, nâng cấp hồ chứa nước Phúc Thọ</t>
  </si>
  <si>
    <t>979 ha</t>
  </si>
  <si>
    <t>1447/QĐ-UBND ngày 27/6/2025 (CT)</t>
  </si>
  <si>
    <t>Trung tâm Quản lý đầu tư và Khai thác thủy lợi tỉnh</t>
  </si>
  <si>
    <t>Khắc phục, duy tu, sửa chữa hệ thống kè, taluy xung quanh hồ Xuân Hương</t>
  </si>
  <si>
    <t>Phường Xuân Hương - Đà Lạt, tỉnh Lâm Đồng</t>
  </si>
  <si>
    <t>Quy mô khu vực dự án là khoảng 8,613 ha, chiều dài tuyến kè, ta luy cải tạo
khoảng: 5,12 km (theo chu vi hồ) và 510m quanh 2 đảo (chu vi bờ của đảo Thủy Tạ dài 212m và Bích Câu dài 298m)</t>
  </si>
  <si>
    <t>Ban quản lý dự án đầu tư xây dựng khu vực Đà Lạt</t>
  </si>
  <si>
    <t>Nạo vét hồ lắng số 2 và xây dựng kè quanh hồ lắng số 2 hạ lưu hồ Xuân Hương</t>
  </si>
  <si>
    <t>01 ha, chiều sâu nao vét trung bình 1,5m; xây dựng mới khoảng 510m kè</t>
  </si>
  <si>
    <t>Xử lý khắc phục ngập lụt tại khu vực vườn hoa thành phố Đà Lạt</t>
  </si>
  <si>
    <t>Phường Lâm Viên - Đà Lạt, tỉnh Lâm Đồng</t>
  </si>
  <si>
    <t>Nạo vét hồ lắng số 1 diện tích 1,8 ha, chiều sâu nạo vét trung bình 03m; nạo vét hồ lắng số 4 với diện tích 1,15 ha, chiều sâu nạo vét trung bình 03m; bổ sung tuyến thoát nước dài 370m</t>
  </si>
  <si>
    <t>1662/QĐ - UBND ngày 10/10/2025 (DA)</t>
  </si>
  <si>
    <t>Trung tâm Nước sạch và Vệ sinh môi trường nông thôn tỉnh Lâm Đồng</t>
  </si>
  <si>
    <t>VI.3</t>
  </si>
  <si>
    <t>Định canh, định cư và kinh tế mới</t>
  </si>
  <si>
    <t>Khu TĐC thôn 13, xã Đăk Wer</t>
  </si>
  <si>
    <t>Ban quản lý dự án đầu tư xây dựng khu vực Đắk R'lấp</t>
  </si>
  <si>
    <t>Khu TĐC thôn Quảng Bình, xã Nghĩa Thắng (Khu số 2)</t>
  </si>
  <si>
    <t>Khu TĐC thôn 11, xã Nhân Cơ</t>
  </si>
  <si>
    <t>Ghi chú:</t>
  </si>
  <si>
    <t>- 09 dự án đã được bố trí vốn chuẩn bị đầu tư</t>
  </si>
  <si>
    <t>Công viên cây xanh xã Hải Ninh, huyện Bắc Bình</t>
  </si>
  <si>
    <t>Công viên cây xanh, DTXD: .2345,6 m2</t>
  </si>
  <si>
    <t>2025- 2025</t>
  </si>
  <si>
    <t>1985/QĐ-UBND ngày 30/5/2025</t>
  </si>
  <si>
    <t>Hệ thống điện chiếu sáng các tuyến đường Huỳnh Thúc Kháng, Lê Hồng Phong và đường DT4, thị trấn Chợ Lầu, huyện Bắc Bình</t>
  </si>
  <si>
    <t>điện chiếu sáng, DTXD : 2.560m</t>
  </si>
  <si>
    <t>9464/QĐ-UBND ngày 22/11/2024</t>
  </si>
  <si>
    <t>KCM</t>
  </si>
  <si>
    <t>ct</t>
  </si>
  <si>
    <t>da</t>
  </si>
  <si>
    <t>khác</t>
  </si>
  <si>
    <t>k</t>
  </si>
  <si>
    <t>(NHCS, thanh quyết toán, chuẩn bị đầu tư, trả nợ gốc,CTMTQG, trích lập quỹ đo đạc)</t>
  </si>
  <si>
    <t>nhiệm vụ</t>
  </si>
  <si>
    <r>
      <t xml:space="preserve">Biểu mẫu số 36 
</t>
    </r>
    <r>
      <rPr>
        <i/>
        <sz val="12"/>
        <color theme="1"/>
        <rFont val="Times New Roman"/>
        <family val="1"/>
      </rPr>
      <t>(Ban hành kèm theo Nghị định số 31/2017/NĐ-CP 
của Chính phủ)</t>
    </r>
  </si>
  <si>
    <t>Tiết kiệm 5% chi đầu tư phát triển (ngân sách địa phương) theo quyết định của Thủ tướng Chính Phủ</t>
  </si>
  <si>
    <t>Nâng cấp kè bảo vệ bờ biển khu phố Hàm Tiến 1, phường Mũi Né</t>
  </si>
  <si>
    <t>Phường Mủi Né</t>
  </si>
  <si>
    <t>Nâng cấp tuyến kè chiều dài khoảng 500m với giải pháp kết cấu đồng bộ với đoạn kè nối tiếp đã đầu tư giai đoạn trước</t>
  </si>
  <si>
    <t>Nhà kho , nhà bao che phòng xét nghiệm Trung tâm Nước sạch và VSMTNT</t>
  </si>
  <si>
    <t>Mở rộng tuyến ống cấp nước thị trấn Võ Xu xã Vũ Hòa huyện Đức Linh</t>
  </si>
  <si>
    <t>Đầu tư xây dựng và cải tạo sửa chữa một số hạng mục Trường trung học phổ thông chuyên Bảo Lộc</t>
  </si>
  <si>
    <t>QĐ số 735/QĐ-UBND ngày 25/4/2024</t>
  </si>
  <si>
    <t>Trường Tiểu học Hà Huy Tập, xã Tâm Thắng, huyện Cư Jút; Hạng mục: Nâng cấp, cải tạo phòng thư viện, phòng thiết bị, sân trường, bồn hoa, làm nhà xe giáo viên</t>
  </si>
  <si>
    <t>3292/QĐ-UBND, ngày 21/11/2024</t>
  </si>
  <si>
    <t>Trường Tiểu học Kim Đồng, Thị trấn EaT'ling ; HM: Xây dựng: Xây dựng 04 phòng (02 tầng) , nhà vệ sinh giáo viên; sửa chữa, cải tạo nhà hiệu bộ</t>
  </si>
  <si>
    <t xml:space="preserve">578/QĐ-UBND ngày 14/04/2025 </t>
  </si>
  <si>
    <t>Trường Tiểu học Vừ A Dính xã Đắk D'rông; hạng mục: 04 phòng chức năng</t>
  </si>
  <si>
    <t xml:space="preserve">2888/QĐ-UBND 17/09/2024
</t>
  </si>
  <si>
    <t>Trường tiểu học Tô Hiệu xã Đắk D'rông; Hạng mục: Nhà hiệu bộ</t>
  </si>
  <si>
    <t xml:space="preserve">2906/QĐ-UBND ngày 18/9/2024
</t>
  </si>
  <si>
    <t>Trường Tiểu học Hùng Vương, xã Cư K'nia, huyện Cư Jút; Hạng mục: 04 phòng học</t>
  </si>
  <si>
    <t>2889/QĐ-UBND ngày 17/9/2024</t>
  </si>
  <si>
    <t>Trường Tiểu học Chu Văn An xã Cư K’nia, huyện Cư Jút; Hạng mục: Nâng cấp, sửa chữa cổng tường rào, sân trường, làm nhà để xe giáo viên</t>
  </si>
  <si>
    <t>2907/QĐ-UBND ngày 18/9/2024</t>
  </si>
  <si>
    <t>Hệ thống truyền thanh ứng dụng công nghệ thông tin - Viễn thông</t>
  </si>
  <si>
    <t>3796/QĐ-UBND, ngày 22/12/2024</t>
  </si>
  <si>
    <t>Lát gạch vỉa hè, xây dựng dải phân cách, trồng hoa dải phân cách, cây xanh, hệ thống điện chiếu sáng và hệ thống thoát nước đường Nguyễn Khuyến thị trấn Ea T’ling</t>
  </si>
  <si>
    <t xml:space="preserve">2652/QĐ-UBND ngày 14/8/2024 </t>
  </si>
  <si>
    <t>34</t>
  </si>
  <si>
    <t>Khắc phục sửa chữa kênh mương tưới tiêu kết hợp đường giao thông nội đồng thôn 2, thôn 7, thôn 8 xã Cư K'Nia, huyện Cư Jút</t>
  </si>
  <si>
    <t>3488/QĐ-UBND, ngày 09/11/2023</t>
  </si>
  <si>
    <t>Xây dựng hệ thống kênh thoát nước tại cánh đồng không tên, xã Tâm Thắng , huyện Cư Jút</t>
  </si>
  <si>
    <t xml:space="preserve">1366/QĐ-UBND ngày 09/06/2025 </t>
  </si>
  <si>
    <t>qt</t>
  </si>
  <si>
    <t>(chưa trừ cao tốc)</t>
  </si>
  <si>
    <t>Tân phú</t>
  </si>
  <si>
    <t>Bảo lộc</t>
  </si>
  <si>
    <t>2021-2027</t>
  </si>
  <si>
    <t>2020-2022</t>
  </si>
  <si>
    <t xml:space="preserve"> 1699/QĐ-UBND ngày 22/10/2010</t>
  </si>
  <si>
    <t>Thông báo sau (phân bổ cho các nhiệm vụ cấp bách, quan trọng, khác…)</t>
  </si>
  <si>
    <t>THÔNG BÁO SAU</t>
  </si>
  <si>
    <r>
      <t xml:space="preserve">Biểu mẫu số 46 
</t>
    </r>
    <r>
      <rPr>
        <i/>
        <sz val="12"/>
        <color theme="1"/>
        <rFont val="Times New Roman"/>
        <family val="1"/>
      </rPr>
      <t>(Ban hành kèm theo Nghị định số 31/2017/NĐ-CP 
của Chính phủ)</t>
    </r>
  </si>
  <si>
    <t>DANH MỤC CÁC DỰ ÁN DỰ KIẾN KHỞI CÔNG MỚI NĂM 2026</t>
  </si>
  <si>
    <t>PHỤ LỤC SỐ 04</t>
  </si>
  <si>
    <t>x</t>
  </si>
  <si>
    <t>Sửa chữa, nâng cấp đường Trần Hưng Đạo (đoạn từ vòng xoay đường 19/4 đến điểm giao đường Trần Phú), thành phố Phan Thiết</t>
  </si>
  <si>
    <t>1432/QĐ-UBND ngày 27/6/2025 (CT)</t>
  </si>
  <si>
    <t>Phụ lục I-13 NQ 181/NQ-HĐND ngày 12/7/2023 của HĐND tỉnh Lâm Đồng (cũ)</t>
  </si>
  <si>
    <t>1214/QĐ-UBND ngày 24/6/2025 (DA)</t>
  </si>
  <si>
    <r>
      <t xml:space="preserve">- Tổng số: 30 dự án; trong đó: 07 dự án đã được phê duyệt chủ trương đầu tư, </t>
    </r>
    <r>
      <rPr>
        <sz val="11"/>
        <color rgb="FFED0000"/>
        <rFont val="Times New Roman"/>
        <family val="1"/>
      </rPr>
      <t>02</t>
    </r>
    <r>
      <rPr>
        <sz val="11"/>
        <rFont val="Times New Roman"/>
        <family val="1"/>
      </rPr>
      <t xml:space="preserve"> dự án phê duyệt dự án đầu tư</t>
    </r>
  </si>
  <si>
    <t>Ban quản lý dự án Khu vực Phan Thiết</t>
  </si>
  <si>
    <t>Trường phổ thông nội trú liên cấp Tiểu học và Trung học xã Thuận Hạnh</t>
  </si>
  <si>
    <t>Trường phổ thông nội trú liên cấp Tiểu học và Trung học xã Tuy Đức, Đăk Wil</t>
  </si>
  <si>
    <t>Trường phổ thông nội trú liên cấp Tiểu học và Trung học xã Đăk Wil</t>
  </si>
  <si>
    <t>PHỤ LỤC SỐ 03</t>
  </si>
  <si>
    <t>PHỤ LỤC SỐ 06</t>
  </si>
  <si>
    <t>(Kèm theo Nghị quyết số     /NQ-HĐND, ngày      tháng 12 năm 2025 của Hội đồng nhân dân tỉnh Lâm Đồng)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</si>
</sst>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1" formatCode="_-* #,##0_-;\-* #,##0_-;_-* &quot;-&quot;_-;_-@_-"/>
    <numFmt numFmtId="43" formatCode="_-* #,##0.00_-;\-* #,##0.00_-;_-* &quot;-&quot;??_-;_-@_-"/>
    <numFmt numFmtId="164" formatCode="_(* #,##0_);_(* \(#,##0\);_(* &quot;-&quot;_);_(@_)"/>
    <numFmt numFmtId="165" formatCode="_(* #,##0.00_);_(* \(#,##0.00\);_(* &quot;-&quot;??_);_(@_)"/>
    <numFmt numFmtId="166" formatCode="_(* #,##0_);_(* \(#,##0\);_(* &quot;-&quot;??_);_(@_)"/>
    <numFmt numFmtId="167" formatCode="#,##0;[Red]#,##0"/>
    <numFmt numFmtId="168" formatCode="#,##0.000"/>
    <numFmt numFmtId="169" formatCode="_-* #,##0\ _₫_-;\-* #,##0\ _₫_-;_-* &quot;-&quot;??\ _₫_-;_-@_-"/>
    <numFmt numFmtId="170" formatCode="_(* #,##0.00_);_(* \(#,##0.00\);_(* &quot;-&quot;&quot;?&quot;&quot;?&quot;_);_(@_)"/>
    <numFmt numFmtId="171" formatCode="&quot;\&quot;#,##0;[Red]&quot;\&quot;\-#,##0"/>
    <numFmt numFmtId="172" formatCode="_-* #,##0.00\ _þ_-;\-* #,##0.00\ _þ_-;_-* &quot;-&quot;??\ _þ_-;_-@_-"/>
    <numFmt numFmtId="173" formatCode="_-* #,##0\ _₫_-;\-* #,##0\ _₫_-;_-* &quot;-&quot;??\ _₫_-;_-@"/>
    <numFmt numFmtId="174" formatCode="_(* #,##0_);_(* \(#,##0\);_(* &quot;-&quot;&quot;?&quot;&quot;?&quot;_);_(@_)"/>
    <numFmt numFmtId="175" formatCode="_(* #,##0.00_);_(* \(#,##0.00\);_(* \-??_);_(@_)"/>
    <numFmt numFmtId="176" formatCode="_-* #,##0.00\ _₫_-;\-* #,##0.00\ _₫_-;_-* &quot;-&quot;??\ _₫_-;_-@_-"/>
    <numFmt numFmtId="177" formatCode="_(* #.##0.00_);_(* \(#.##0.00\);_(* &quot;-&quot;??_);_(@_)"/>
    <numFmt numFmtId="178" formatCode="_-* #,##0_-;\-* #,##0_-;_-* &quot;-&quot;??_-;_-@_-"/>
    <numFmt numFmtId="179" formatCode="#,##0;\-#,##0;\-"/>
    <numFmt numFmtId="180" formatCode="0.0"/>
    <numFmt numFmtId="181" formatCode="_(* #,##0.000_);_(* \(#,##0.000\);_(* &quot;-&quot;??_);_(@_)"/>
    <numFmt numFmtId="182" formatCode="_(* #,##0.000_);_(* \(#,##0.000\);_(* &quot;-&quot;_);_(@_)"/>
    <numFmt numFmtId="183" formatCode="#,##0.0000"/>
    <numFmt numFmtId="184" formatCode="#,##0.0"/>
  </numFmts>
  <fonts count="71">
    <font>
      <sz val="11"/>
      <color theme="1"/>
      <name val="Calibri"/>
      <family val="2"/>
      <scheme val="minor"/>
    </font>
    <font>
      <sz val="11"/>
      <color indexed="8"/>
      <name val="Calibri"/>
      <family val="2"/>
    </font>
    <font>
      <b/>
      <sz val="12"/>
      <name val="Times New Roman"/>
      <family val="1"/>
    </font>
    <font>
      <sz val="12"/>
      <name val="Times New Roman"/>
      <family val="1"/>
    </font>
    <font>
      <i/>
      <sz val="12"/>
      <name val="Times New Roman"/>
      <family val="1"/>
    </font>
    <font>
      <sz val="12"/>
      <name val=".VnTime"/>
      <family val="2"/>
    </font>
    <font>
      <sz val="10"/>
      <name val="Arial"/>
      <family val="2"/>
    </font>
    <font>
      <sz val="14"/>
      <name val=".VnTime"/>
      <family val="2"/>
    </font>
    <font>
      <sz val="11"/>
      <name val="Arial Narrow"/>
      <family val="2"/>
    </font>
    <font>
      <sz val="11"/>
      <color indexed="8"/>
      <name val="Calibri"/>
      <family val="2"/>
    </font>
    <font>
      <sz val="14"/>
      <name val="Times New Roman"/>
      <family val="1"/>
      <charset val="163"/>
    </font>
    <font>
      <sz val="12"/>
      <name val="Times New Roman"/>
      <family val="1"/>
      <charset val="163"/>
    </font>
    <font>
      <sz val="12"/>
      <name val=".VnArial Narrow"/>
      <family val="2"/>
    </font>
    <font>
      <sz val="11"/>
      <name val="Times New Roman"/>
      <family val="1"/>
    </font>
    <font>
      <sz val="10"/>
      <name val="Times New Roman"/>
      <family val="1"/>
    </font>
    <font>
      <b/>
      <sz val="11"/>
      <name val="Times New Roman"/>
      <family val="1"/>
    </font>
    <font>
      <sz val="11"/>
      <name val="VNI-Times"/>
    </font>
    <font>
      <b/>
      <i/>
      <sz val="11"/>
      <name val="Times New Roman"/>
      <family val="1"/>
    </font>
    <font>
      <i/>
      <sz val="11"/>
      <name val="Times New Roman"/>
      <family val="1"/>
    </font>
    <font>
      <sz val="10"/>
      <name val="Arial"/>
      <family val="2"/>
      <charset val="163"/>
    </font>
    <font>
      <sz val="13"/>
      <name val="VNI-Times"/>
    </font>
    <font>
      <sz val="11"/>
      <name val="Times New Roman"/>
      <family val="1"/>
      <charset val="163"/>
    </font>
    <font>
      <b/>
      <sz val="11"/>
      <name val="Times New Roman"/>
      <family val="1"/>
      <charset val="163"/>
    </font>
    <font>
      <sz val="11"/>
      <color indexed="8"/>
      <name val="Calibri"/>
      <family val="2"/>
      <charset val="163"/>
    </font>
    <font>
      <i/>
      <sz val="11"/>
      <name val="Times New Roman"/>
      <family val="1"/>
      <charset val="163"/>
    </font>
    <font>
      <sz val="8"/>
      <name val="Calibri"/>
      <family val="2"/>
    </font>
    <font>
      <b/>
      <sz val="13"/>
      <name val="Times New Roman"/>
      <family val="1"/>
    </font>
    <font>
      <i/>
      <sz val="13"/>
      <name val="Times New Roman"/>
      <family val="1"/>
    </font>
    <font>
      <sz val="11"/>
      <color theme="1"/>
      <name val="Calibri"/>
      <family val="2"/>
      <scheme val="minor"/>
    </font>
    <font>
      <sz val="12"/>
      <color theme="1"/>
      <name val="Times New Roman"/>
      <family val="1"/>
    </font>
    <font>
      <sz val="12"/>
      <color theme="1"/>
      <name val="Times New Roman"/>
      <family val="2"/>
      <charset val="1"/>
    </font>
    <font>
      <sz val="11"/>
      <color theme="1"/>
      <name val="Calibri"/>
      <family val="2"/>
      <charset val="163"/>
      <scheme val="minor"/>
    </font>
    <font>
      <b/>
      <sz val="11"/>
      <color theme="1"/>
      <name val="Calibri"/>
      <family val="2"/>
      <scheme val="minor"/>
    </font>
    <font>
      <sz val="11"/>
      <color rgb="FFFF0000"/>
      <name val="Calibri"/>
      <family val="2"/>
      <scheme val="minor"/>
    </font>
    <font>
      <sz val="11"/>
      <name val="Calibri"/>
      <family val="2"/>
      <scheme val="minor"/>
    </font>
    <font>
      <sz val="11"/>
      <color theme="1"/>
      <name val="Times New Roman"/>
      <family val="1"/>
    </font>
    <font>
      <sz val="11"/>
      <color rgb="FFFF0000"/>
      <name val="Times New Roman"/>
      <family val="1"/>
    </font>
    <font>
      <b/>
      <sz val="12"/>
      <color theme="1"/>
      <name val="Times New Roman"/>
      <family val="1"/>
    </font>
    <font>
      <i/>
      <sz val="11"/>
      <color theme="1"/>
      <name val="Calibri"/>
      <family val="2"/>
      <charset val="163"/>
      <scheme val="minor"/>
    </font>
    <font>
      <i/>
      <sz val="12"/>
      <color theme="1"/>
      <name val="Times New Roman"/>
      <family val="1"/>
    </font>
    <font>
      <sz val="14"/>
      <color theme="1"/>
      <name val="Times New Roman"/>
      <family val="2"/>
    </font>
    <font>
      <b/>
      <sz val="11"/>
      <color theme="1"/>
      <name val="Calibri"/>
      <family val="2"/>
      <charset val="163"/>
      <scheme val="minor"/>
    </font>
    <font>
      <b/>
      <sz val="11"/>
      <name val="Times New Roman h"/>
      <charset val="163"/>
    </font>
    <font>
      <sz val="14"/>
      <name val="Times New Roman"/>
      <family val="1"/>
    </font>
    <font>
      <sz val="12"/>
      <color theme="0"/>
      <name val="Times New Roman"/>
      <family val="1"/>
    </font>
    <font>
      <sz val="11"/>
      <name val="Times New Roman h"/>
    </font>
    <font>
      <sz val="11"/>
      <color indexed="8"/>
      <name val="Arial"/>
      <family val="2"/>
      <charset val="163"/>
    </font>
    <font>
      <b/>
      <sz val="9"/>
      <color indexed="81"/>
      <name val="Tahoma"/>
      <family val="2"/>
    </font>
    <font>
      <sz val="9"/>
      <color indexed="81"/>
      <name val="Tahoma"/>
      <family val="2"/>
    </font>
    <font>
      <i/>
      <sz val="13"/>
      <color theme="1"/>
      <name val="Times New Roman"/>
      <family val="1"/>
    </font>
    <font>
      <b/>
      <sz val="13"/>
      <color theme="1"/>
      <name val="Times New Roman"/>
      <family val="1"/>
    </font>
    <font>
      <sz val="14"/>
      <color theme="1"/>
      <name val="Times New Roman"/>
      <family val="1"/>
    </font>
    <font>
      <sz val="12"/>
      <color rgb="FF00B050"/>
      <name val="Times New Roman"/>
      <family val="1"/>
    </font>
    <font>
      <sz val="10"/>
      <name val="Calibri"/>
      <family val="2"/>
      <scheme val="minor"/>
    </font>
    <font>
      <b/>
      <sz val="10"/>
      <name val="Times New Roman"/>
      <family val="1"/>
    </font>
    <font>
      <b/>
      <sz val="10"/>
      <name val="Calibri"/>
      <family val="2"/>
      <scheme val="minor"/>
    </font>
    <font>
      <sz val="11"/>
      <color indexed="8"/>
      <name val="Calibri"/>
      <family val="2"/>
      <scheme val="minor"/>
    </font>
    <font>
      <b/>
      <sz val="11"/>
      <name val="Calibri"/>
      <family val="2"/>
      <scheme val="minor"/>
    </font>
    <font>
      <b/>
      <sz val="12"/>
      <color theme="0"/>
      <name val="Times New Roman"/>
      <family val="1"/>
    </font>
    <font>
      <b/>
      <sz val="14"/>
      <color theme="1"/>
      <name val="Times New Roman"/>
      <family val="1"/>
    </font>
    <font>
      <i/>
      <sz val="11"/>
      <name val="Calibri"/>
      <family val="2"/>
      <scheme val="minor"/>
    </font>
    <font>
      <sz val="12"/>
      <color rgb="FFFF0000"/>
      <name val="Times New Roman"/>
      <family val="1"/>
    </font>
    <font>
      <b/>
      <i/>
      <u/>
      <sz val="11"/>
      <name val="Times New Roman"/>
      <family val="1"/>
    </font>
    <font>
      <b/>
      <sz val="11"/>
      <name val="Calibri"/>
      <family val="2"/>
      <charset val="163"/>
      <scheme val="minor"/>
    </font>
    <font>
      <b/>
      <i/>
      <sz val="11"/>
      <name val="Times New Roman"/>
      <family val="1"/>
      <charset val="163"/>
    </font>
    <font>
      <b/>
      <i/>
      <sz val="11"/>
      <name val="Calibri"/>
      <family val="2"/>
      <charset val="163"/>
      <scheme val="minor"/>
    </font>
    <font>
      <i/>
      <sz val="11"/>
      <name val="Calibri"/>
      <family val="2"/>
      <charset val="163"/>
      <scheme val="minor"/>
    </font>
    <font>
      <sz val="11"/>
      <name val="Calibri"/>
      <family val="2"/>
      <charset val="163"/>
      <scheme val="minor"/>
    </font>
    <font>
      <b/>
      <sz val="10"/>
      <color theme="1"/>
      <name val="Times New Roman"/>
      <family val="1"/>
    </font>
    <font>
      <sz val="11"/>
      <color rgb="FFED0000"/>
      <name val="Times New Roman"/>
      <family val="1"/>
    </font>
    <font>
      <b/>
      <sz val="12"/>
      <color rgb="FFFF0000"/>
      <name val="Times New Roman"/>
      <family val="1"/>
    </font>
  </fonts>
  <fills count="7">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theme="0"/>
        <bgColor rgb="FFFFFFFF"/>
      </patternFill>
    </fill>
    <fill>
      <patternFill patternType="solid">
        <fgColor theme="9" tint="0.59999389629810485"/>
        <bgColor indexed="64"/>
      </patternFill>
    </fill>
    <fill>
      <patternFill patternType="solid">
        <fgColor theme="8"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s>
  <cellStyleXfs count="70">
    <xf numFmtId="0" fontId="0" fillId="0" borderId="0"/>
    <xf numFmtId="165" fontId="28" fillId="0" borderId="0" applyFont="0" applyFill="0" applyBorder="0" applyAlignment="0" applyProtection="0"/>
    <xf numFmtId="164" fontId="2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9" fillId="0" borderId="0" applyFont="0" applyFill="0" applyBorder="0" applyAlignment="0" applyProtection="0"/>
    <xf numFmtId="165" fontId="6" fillId="0" borderId="0" applyFont="0" applyFill="0" applyBorder="0" applyAlignment="0" applyProtection="0"/>
    <xf numFmtId="43" fontId="6" fillId="0" borderId="0" applyFont="0" applyFill="0" applyBorder="0" applyAlignment="0" applyProtection="0"/>
    <xf numFmtId="170" fontId="14" fillId="0" borderId="0" applyFont="0" applyFill="0" applyBorder="0" applyAlignment="0" applyProtection="0"/>
    <xf numFmtId="165" fontId="29" fillId="0" borderId="0" applyFont="0" applyFill="0" applyBorder="0" applyAlignment="0" applyProtection="0"/>
    <xf numFmtId="171" fontId="6" fillId="0" borderId="0" applyFont="0" applyFill="0" applyBorder="0" applyAlignment="0" applyProtection="0"/>
    <xf numFmtId="172" fontId="1" fillId="0" borderId="0" applyFont="0" applyFill="0" applyBorder="0" applyAlignment="0" applyProtection="0"/>
    <xf numFmtId="43" fontId="14" fillId="0" borderId="0" applyFont="0" applyFill="0" applyBorder="0" applyAlignment="0" applyProtection="0"/>
    <xf numFmtId="170" fontId="19" fillId="0" borderId="0" applyFont="0" applyFill="0" applyBorder="0" applyAlignment="0" applyProtection="0"/>
    <xf numFmtId="165" fontId="6" fillId="0" borderId="0" applyFont="0" applyFill="0" applyBorder="0" applyAlignment="0" applyProtection="0"/>
    <xf numFmtId="165" fontId="1" fillId="0" borderId="0" applyFont="0" applyFill="0" applyBorder="0" applyAlignment="0" applyProtection="0"/>
    <xf numFmtId="165" fontId="6" fillId="0" borderId="0" applyFont="0" applyFill="0" applyBorder="0" applyAlignment="0" applyProtection="0"/>
    <xf numFmtId="170" fontId="6"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5" fontId="1" fillId="0" borderId="0" applyFill="0" applyBorder="0" applyAlignment="0" applyProtection="0"/>
    <xf numFmtId="170" fontId="20" fillId="0" borderId="0" applyFont="0" applyFill="0" applyBorder="0" applyAlignment="0" applyProtection="0"/>
    <xf numFmtId="165" fontId="5" fillId="0" borderId="0" applyFont="0" applyFill="0" applyBorder="0" applyAlignment="0" applyProtection="0"/>
    <xf numFmtId="165" fontId="28" fillId="0" borderId="0" applyFont="0" applyFill="0" applyBorder="0" applyAlignment="0" applyProtection="0"/>
    <xf numFmtId="165" fontId="6" fillId="0" borderId="0" applyFont="0" applyFill="0" applyBorder="0" applyAlignment="0" applyProtection="0"/>
    <xf numFmtId="0" fontId="8" fillId="0" borderId="0"/>
    <xf numFmtId="0" fontId="6" fillId="0" borderId="0"/>
    <xf numFmtId="0" fontId="14" fillId="0" borderId="0"/>
    <xf numFmtId="0" fontId="28" fillId="0" borderId="0"/>
    <xf numFmtId="0" fontId="28" fillId="0" borderId="0"/>
    <xf numFmtId="0" fontId="28" fillId="0" borderId="0"/>
    <xf numFmtId="0" fontId="28" fillId="0" borderId="0" applyAlignment="0"/>
    <xf numFmtId="0" fontId="11" fillId="0" borderId="0"/>
    <xf numFmtId="0" fontId="28" fillId="0" borderId="0"/>
    <xf numFmtId="0" fontId="6" fillId="0" borderId="0"/>
    <xf numFmtId="0" fontId="12" fillId="0" borderId="0"/>
    <xf numFmtId="0" fontId="5" fillId="0" borderId="0"/>
    <xf numFmtId="0" fontId="5" fillId="0" borderId="0"/>
    <xf numFmtId="0" fontId="11" fillId="0" borderId="0"/>
    <xf numFmtId="0" fontId="6" fillId="0" borderId="0"/>
    <xf numFmtId="0" fontId="7" fillId="0" borderId="0" applyProtection="0"/>
    <xf numFmtId="0" fontId="30" fillId="0" borderId="0"/>
    <xf numFmtId="0" fontId="31" fillId="0" borderId="0"/>
    <xf numFmtId="0" fontId="28" fillId="0" borderId="0" applyAlignment="0"/>
    <xf numFmtId="0" fontId="6" fillId="0" borderId="0"/>
    <xf numFmtId="0" fontId="13" fillId="0" borderId="0"/>
    <xf numFmtId="0" fontId="28" fillId="0" borderId="0"/>
    <xf numFmtId="0" fontId="29" fillId="0" borderId="0"/>
    <xf numFmtId="0" fontId="28" fillId="0" borderId="0"/>
    <xf numFmtId="0" fontId="28" fillId="0" borderId="0"/>
    <xf numFmtId="0" fontId="28" fillId="0" borderId="0"/>
    <xf numFmtId="0" fontId="28" fillId="0" borderId="0"/>
    <xf numFmtId="0" fontId="28" fillId="0" borderId="0"/>
    <xf numFmtId="0" fontId="29" fillId="0" borderId="0"/>
    <xf numFmtId="0" fontId="29" fillId="0" borderId="0"/>
    <xf numFmtId="0" fontId="16" fillId="0" borderId="0"/>
    <xf numFmtId="0" fontId="6" fillId="0" borderId="0"/>
    <xf numFmtId="0" fontId="6" fillId="0" borderId="0"/>
    <xf numFmtId="0" fontId="1" fillId="0" borderId="0"/>
    <xf numFmtId="9" fontId="28" fillId="0" borderId="0" applyFont="0" applyFill="0" applyBorder="0" applyAlignment="0" applyProtection="0"/>
    <xf numFmtId="9" fontId="8" fillId="0" borderId="0" applyFont="0" applyFill="0" applyBorder="0" applyAlignment="0" applyProtection="0"/>
    <xf numFmtId="9" fontId="10" fillId="0" borderId="0" applyFont="0" applyFill="0" applyBorder="0" applyAlignment="0" applyProtection="0"/>
    <xf numFmtId="0" fontId="40" fillId="0" borderId="0"/>
    <xf numFmtId="0" fontId="28" fillId="0" borderId="0"/>
    <xf numFmtId="0" fontId="28" fillId="0" borderId="0"/>
    <xf numFmtId="177" fontId="1" fillId="0" borderId="0" applyFont="0" applyFill="0" applyBorder="0" applyAlignment="0" applyProtection="0"/>
    <xf numFmtId="0" fontId="46" fillId="0" borderId="0"/>
    <xf numFmtId="165" fontId="1" fillId="0" borderId="0" applyFont="0" applyFill="0" applyBorder="0" applyAlignment="0" applyProtection="0"/>
    <xf numFmtId="43" fontId="56" fillId="0" borderId="0" applyFont="0" applyFill="0" applyBorder="0" applyAlignment="0" applyProtection="0"/>
    <xf numFmtId="0" fontId="5" fillId="0" borderId="0"/>
  </cellStyleXfs>
  <cellXfs count="1152">
    <xf numFmtId="0" fontId="0" fillId="0" borderId="0" xfId="0"/>
    <xf numFmtId="0" fontId="3" fillId="0" borderId="0" xfId="28" applyFont="1"/>
    <xf numFmtId="0" fontId="3" fillId="0" borderId="0" xfId="28" applyFont="1" applyAlignment="1">
      <alignment vertical="center"/>
    </xf>
    <xf numFmtId="0" fontId="29" fillId="0" borderId="1" xfId="28" applyFont="1" applyBorder="1" applyAlignment="1">
      <alignment horizontal="center" vertical="center"/>
    </xf>
    <xf numFmtId="0" fontId="29" fillId="0" borderId="1" xfId="28" quotePrefix="1" applyFont="1" applyBorder="1" applyAlignment="1">
      <alignment horizontal="center" vertical="center"/>
    </xf>
    <xf numFmtId="0" fontId="2" fillId="0" borderId="0" xfId="28" applyFont="1"/>
    <xf numFmtId="0" fontId="34" fillId="2" borderId="0" xfId="0" applyFont="1" applyFill="1"/>
    <xf numFmtId="0" fontId="13" fillId="2" borderId="0" xfId="0" applyFont="1" applyFill="1" applyAlignment="1">
      <alignment vertical="center"/>
    </xf>
    <xf numFmtId="0" fontId="13" fillId="2" borderId="0" xfId="0" applyFont="1" applyFill="1"/>
    <xf numFmtId="0" fontId="35" fillId="2" borderId="2" xfId="0" applyFont="1" applyFill="1" applyBorder="1" applyAlignment="1">
      <alignment vertical="center" wrapText="1"/>
    </xf>
    <xf numFmtId="0" fontId="18" fillId="2" borderId="0" xfId="0" applyFont="1" applyFill="1"/>
    <xf numFmtId="167" fontId="13" fillId="2" borderId="2" xfId="0" applyNumberFormat="1" applyFont="1" applyFill="1" applyBorder="1" applyAlignment="1">
      <alignment horizontal="center" vertical="center" wrapText="1"/>
    </xf>
    <xf numFmtId="3" fontId="13" fillId="2" borderId="2" xfId="22" applyNumberFormat="1" applyFont="1" applyFill="1" applyBorder="1" applyAlignment="1">
      <alignment horizontal="right" vertical="center" wrapText="1"/>
    </xf>
    <xf numFmtId="0" fontId="13" fillId="2" borderId="2" xfId="0" applyFont="1" applyFill="1" applyBorder="1" applyAlignment="1">
      <alignment horizontal="center" vertical="center" wrapText="1"/>
    </xf>
    <xf numFmtId="3" fontId="15" fillId="2" borderId="2" xfId="22" applyNumberFormat="1" applyFont="1" applyFill="1" applyBorder="1" applyAlignment="1">
      <alignment horizontal="right" vertical="center" wrapText="1"/>
    </xf>
    <xf numFmtId="0" fontId="13" fillId="2" borderId="2" xfId="0" applyFont="1" applyFill="1" applyBorder="1" applyAlignment="1">
      <alignment horizontal="justify" vertical="center" wrapText="1"/>
    </xf>
    <xf numFmtId="3" fontId="13" fillId="2" borderId="2" xfId="25" applyNumberFormat="1" applyFont="1" applyFill="1" applyBorder="1" applyAlignment="1">
      <alignment horizontal="right" vertical="center" wrapText="1"/>
    </xf>
    <xf numFmtId="3" fontId="13" fillId="2" borderId="2" xfId="0" applyNumberFormat="1" applyFont="1" applyFill="1" applyBorder="1" applyAlignment="1">
      <alignment horizontal="right" vertical="center" wrapText="1"/>
    </xf>
    <xf numFmtId="3" fontId="13" fillId="2" borderId="2" xfId="57" quotePrefix="1" applyNumberFormat="1" applyFont="1" applyFill="1" applyBorder="1" applyAlignment="1">
      <alignment horizontal="center" vertical="center" wrapText="1"/>
    </xf>
    <xf numFmtId="3" fontId="13" fillId="2" borderId="2" xfId="0" applyNumberFormat="1" applyFont="1" applyFill="1" applyBorder="1" applyAlignment="1">
      <alignment horizontal="right" vertical="center"/>
    </xf>
    <xf numFmtId="1" fontId="13" fillId="2" borderId="2" xfId="0" applyNumberFormat="1" applyFont="1" applyFill="1" applyBorder="1" applyAlignment="1">
      <alignment horizontal="center" vertical="center" wrapText="1"/>
    </xf>
    <xf numFmtId="3" fontId="13" fillId="2" borderId="2" xfId="0" applyNumberFormat="1" applyFont="1" applyFill="1" applyBorder="1" applyAlignment="1">
      <alignment horizontal="center" vertical="center" wrapText="1"/>
    </xf>
    <xf numFmtId="0" fontId="37" fillId="0" borderId="1" xfId="28" applyFont="1" applyBorder="1" applyAlignment="1">
      <alignment horizontal="center" vertical="center" wrapText="1"/>
    </xf>
    <xf numFmtId="0" fontId="13" fillId="0" borderId="0" xfId="0" applyFont="1"/>
    <xf numFmtId="3" fontId="13" fillId="2" borderId="2" xfId="22" applyNumberFormat="1" applyFont="1" applyFill="1" applyBorder="1" applyAlignment="1">
      <alignment horizontal="right" vertical="center" wrapText="1" shrinkToFit="1"/>
    </xf>
    <xf numFmtId="3" fontId="13" fillId="2" borderId="2" xfId="26" applyNumberFormat="1" applyFont="1" applyFill="1" applyBorder="1" applyAlignment="1">
      <alignment vertical="center" wrapText="1"/>
    </xf>
    <xf numFmtId="0" fontId="13" fillId="2" borderId="2" xfId="0" quotePrefix="1" applyFont="1" applyFill="1" applyBorder="1" applyAlignment="1">
      <alignment horizontal="center" vertical="center" wrapText="1"/>
    </xf>
    <xf numFmtId="0" fontId="13" fillId="2" borderId="2" xfId="0" applyFont="1" applyFill="1" applyBorder="1" applyAlignment="1">
      <alignment vertical="center" wrapText="1"/>
    </xf>
    <xf numFmtId="169" fontId="13" fillId="2" borderId="2" xfId="10" applyNumberFormat="1" applyFont="1" applyFill="1" applyBorder="1" applyAlignment="1">
      <alignment horizontal="right" vertical="center" wrapText="1"/>
    </xf>
    <xf numFmtId="0" fontId="31" fillId="0" borderId="0" xfId="0" applyFont="1"/>
    <xf numFmtId="0" fontId="2" fillId="0" borderId="0" xfId="0" applyFont="1"/>
    <xf numFmtId="0" fontId="38" fillId="0" borderId="0" xfId="0" applyFont="1"/>
    <xf numFmtId="0" fontId="13" fillId="2" borderId="2" xfId="0" quotePrefix="1" applyFont="1" applyFill="1" applyBorder="1" applyAlignment="1">
      <alignment horizontal="center" vertical="center"/>
    </xf>
    <xf numFmtId="0" fontId="13" fillId="2" borderId="2" xfId="0" applyFont="1" applyFill="1" applyBorder="1" applyAlignment="1">
      <alignment vertical="center"/>
    </xf>
    <xf numFmtId="0" fontId="29" fillId="2" borderId="2" xfId="0" applyFont="1" applyFill="1" applyBorder="1" applyAlignment="1">
      <alignment horizontal="center" vertical="center"/>
    </xf>
    <xf numFmtId="0" fontId="13" fillId="0" borderId="2" xfId="16" applyNumberFormat="1" applyFont="1" applyFill="1" applyBorder="1" applyAlignment="1" applyProtection="1">
      <alignment horizontal="center" vertical="center" wrapText="1"/>
    </xf>
    <xf numFmtId="164" fontId="13" fillId="0" borderId="2" xfId="16" applyNumberFormat="1" applyFont="1" applyFill="1" applyBorder="1" applyAlignment="1" applyProtection="1">
      <alignment horizontal="right" vertical="center" wrapText="1"/>
    </xf>
    <xf numFmtId="0" fontId="13" fillId="2" borderId="2" xfId="16" applyNumberFormat="1" applyFont="1" applyFill="1" applyBorder="1" applyAlignment="1" applyProtection="1">
      <alignment horizontal="center" vertical="center" wrapText="1"/>
    </xf>
    <xf numFmtId="164" fontId="13" fillId="2" borderId="2" xfId="16" applyNumberFormat="1" applyFont="1" applyFill="1" applyBorder="1" applyAlignment="1" applyProtection="1">
      <alignment horizontal="right" vertical="center" wrapText="1"/>
    </xf>
    <xf numFmtId="164" fontId="15" fillId="0" borderId="2" xfId="16" applyNumberFormat="1" applyFont="1" applyFill="1" applyBorder="1" applyAlignment="1" applyProtection="1">
      <alignment horizontal="right" vertical="center" wrapText="1"/>
    </xf>
    <xf numFmtId="0" fontId="18" fillId="0" borderId="2" xfId="16" applyNumberFormat="1" applyFont="1" applyFill="1" applyBorder="1" applyAlignment="1" applyProtection="1">
      <alignment horizontal="center" vertical="center" wrapText="1"/>
    </xf>
    <xf numFmtId="164" fontId="18" fillId="0" borderId="2" xfId="16" applyNumberFormat="1" applyFont="1" applyFill="1" applyBorder="1" applyAlignment="1" applyProtection="1">
      <alignment horizontal="right" vertical="center" wrapText="1"/>
    </xf>
    <xf numFmtId="0" fontId="13" fillId="2" borderId="2" xfId="0" applyFont="1" applyFill="1" applyBorder="1" applyAlignment="1">
      <alignment horizontal="left" vertical="center" wrapText="1"/>
    </xf>
    <xf numFmtId="3" fontId="13" fillId="2" borderId="2" xfId="0" applyNumberFormat="1" applyFont="1" applyFill="1" applyBorder="1" applyAlignment="1">
      <alignment vertical="center" wrapText="1"/>
    </xf>
    <xf numFmtId="3" fontId="13" fillId="2" borderId="2" xfId="14" applyNumberFormat="1" applyFont="1" applyFill="1" applyBorder="1" applyAlignment="1">
      <alignment vertical="center" wrapText="1"/>
    </xf>
    <xf numFmtId="0" fontId="13" fillId="2" borderId="2" xfId="34" applyFont="1" applyFill="1" applyBorder="1" applyAlignment="1">
      <alignment horizontal="center" vertical="center" wrapText="1"/>
    </xf>
    <xf numFmtId="0" fontId="15" fillId="2" borderId="0" xfId="0" applyFont="1" applyFill="1" applyAlignment="1">
      <alignment horizontal="center" vertical="center"/>
    </xf>
    <xf numFmtId="3" fontId="29" fillId="0" borderId="2" xfId="0" applyNumberFormat="1" applyFont="1" applyBorder="1" applyAlignment="1">
      <alignment vertical="center"/>
    </xf>
    <xf numFmtId="0" fontId="3" fillId="0" borderId="2" xfId="0" applyFont="1" applyBorder="1" applyAlignment="1">
      <alignment horizontal="left" vertical="center" wrapText="1"/>
    </xf>
    <xf numFmtId="0" fontId="3" fillId="0" borderId="2" xfId="0" applyFont="1" applyBorder="1" applyAlignment="1">
      <alignment vertical="center" wrapText="1"/>
    </xf>
    <xf numFmtId="0" fontId="3" fillId="0" borderId="0" xfId="0" applyFont="1" applyAlignment="1">
      <alignment vertical="center"/>
    </xf>
    <xf numFmtId="0" fontId="39" fillId="0" borderId="0" xfId="28" applyFont="1" applyAlignment="1">
      <alignment horizontal="left"/>
    </xf>
    <xf numFmtId="0" fontId="29" fillId="0" borderId="0" xfId="28" applyFont="1"/>
    <xf numFmtId="0" fontId="39" fillId="0" borderId="0" xfId="28" applyFont="1" applyAlignment="1">
      <alignment horizontal="center"/>
    </xf>
    <xf numFmtId="3" fontId="37" fillId="0" borderId="4" xfId="56" quotePrefix="1" applyNumberFormat="1" applyFont="1" applyBorder="1" applyAlignment="1">
      <alignment horizontal="right" vertical="center" wrapText="1"/>
    </xf>
    <xf numFmtId="3" fontId="36" fillId="0" borderId="2" xfId="22" applyNumberFormat="1" applyFont="1" applyFill="1" applyBorder="1" applyAlignment="1">
      <alignment horizontal="right" vertical="center" wrapText="1"/>
    </xf>
    <xf numFmtId="3" fontId="3" fillId="2" borderId="0" xfId="62" applyNumberFormat="1" applyFont="1" applyFill="1" applyAlignment="1">
      <alignment vertical="center"/>
    </xf>
    <xf numFmtId="3" fontId="4" fillId="2" borderId="8" xfId="1" applyNumberFormat="1" applyFont="1" applyFill="1" applyBorder="1" applyAlignment="1"/>
    <xf numFmtId="3" fontId="22" fillId="2" borderId="1" xfId="1" applyNumberFormat="1" applyFont="1" applyFill="1" applyBorder="1" applyAlignment="1">
      <alignment horizontal="center" vertical="center" wrapText="1"/>
    </xf>
    <xf numFmtId="3" fontId="21" fillId="2" borderId="1" xfId="62" applyNumberFormat="1" applyFont="1" applyFill="1" applyBorder="1" applyAlignment="1">
      <alignment horizontal="center" vertical="center"/>
    </xf>
    <xf numFmtId="3" fontId="21" fillId="2" borderId="1" xfId="1" quotePrefix="1" applyNumberFormat="1" applyFont="1" applyFill="1" applyBorder="1" applyAlignment="1">
      <alignment horizontal="center" vertical="center"/>
    </xf>
    <xf numFmtId="3" fontId="22" fillId="2" borderId="4" xfId="62" applyNumberFormat="1" applyFont="1" applyFill="1" applyBorder="1" applyAlignment="1">
      <alignment horizontal="center" vertical="center"/>
    </xf>
    <xf numFmtId="0" fontId="41" fillId="0" borderId="0" xfId="0" applyFont="1"/>
    <xf numFmtId="3" fontId="22" fillId="2" borderId="2" xfId="62" applyNumberFormat="1" applyFont="1" applyFill="1" applyBorder="1" applyAlignment="1">
      <alignment horizontal="center" vertical="center"/>
    </xf>
    <xf numFmtId="3" fontId="22" fillId="2" borderId="2" xfId="62" applyNumberFormat="1" applyFont="1" applyFill="1" applyBorder="1" applyAlignment="1">
      <alignment vertical="center" wrapText="1"/>
    </xf>
    <xf numFmtId="3" fontId="21" fillId="2" borderId="2" xfId="62" applyNumberFormat="1" applyFont="1" applyFill="1" applyBorder="1" applyAlignment="1">
      <alignment horizontal="center" vertical="center"/>
    </xf>
    <xf numFmtId="3" fontId="21" fillId="2" borderId="2" xfId="62" applyNumberFormat="1" applyFont="1" applyFill="1" applyBorder="1" applyAlignment="1">
      <alignment vertical="center"/>
    </xf>
    <xf numFmtId="3" fontId="21" fillId="2" borderId="2" xfId="62" applyNumberFormat="1" applyFont="1" applyFill="1" applyBorder="1" applyAlignment="1">
      <alignment vertical="center" wrapText="1"/>
    </xf>
    <xf numFmtId="3" fontId="24" fillId="2" borderId="2" xfId="62" applyNumberFormat="1" applyFont="1" applyFill="1" applyBorder="1" applyAlignment="1">
      <alignment horizontal="center" vertical="center"/>
    </xf>
    <xf numFmtId="3" fontId="24" fillId="2" borderId="2" xfId="62" applyNumberFormat="1" applyFont="1" applyFill="1" applyBorder="1" applyAlignment="1">
      <alignment vertical="center" wrapText="1"/>
    </xf>
    <xf numFmtId="3" fontId="24" fillId="2" borderId="2" xfId="62" applyNumberFormat="1" applyFont="1" applyFill="1" applyBorder="1" applyAlignment="1">
      <alignment vertical="center"/>
    </xf>
    <xf numFmtId="3" fontId="24" fillId="2" borderId="2" xfId="62" applyNumberFormat="1" applyFont="1" applyFill="1" applyBorder="1" applyAlignment="1">
      <alignment horizontal="left" vertical="center" wrapText="1"/>
    </xf>
    <xf numFmtId="3" fontId="21" fillId="2" borderId="2" xfId="62" applyNumberFormat="1" applyFont="1" applyFill="1" applyBorder="1" applyAlignment="1">
      <alignment horizontal="left" vertical="center" wrapText="1"/>
    </xf>
    <xf numFmtId="3" fontId="21" fillId="2" borderId="2" xfId="62" quotePrefix="1" applyNumberFormat="1" applyFont="1" applyFill="1" applyBorder="1" applyAlignment="1">
      <alignment horizontal="center" vertical="center"/>
    </xf>
    <xf numFmtId="3" fontId="21" fillId="2" borderId="5" xfId="62" applyNumberFormat="1" applyFont="1" applyFill="1" applyBorder="1" applyAlignment="1">
      <alignment horizontal="center" vertical="center"/>
    </xf>
    <xf numFmtId="3" fontId="21" fillId="2" borderId="5" xfId="62" applyNumberFormat="1" applyFont="1" applyFill="1" applyBorder="1" applyAlignment="1">
      <alignment vertical="center"/>
    </xf>
    <xf numFmtId="0" fontId="43" fillId="0" borderId="0" xfId="0" applyFont="1" applyAlignment="1">
      <alignment vertical="center"/>
    </xf>
    <xf numFmtId="0" fontId="3" fillId="0" borderId="0" xfId="0" applyFont="1" applyAlignment="1">
      <alignment horizontal="center" wrapText="1"/>
    </xf>
    <xf numFmtId="0" fontId="3" fillId="0" borderId="0" xfId="0" applyFont="1"/>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Alignment="1">
      <alignment vertical="center"/>
    </xf>
    <xf numFmtId="0" fontId="3" fillId="0" borderId="2" xfId="0" applyFont="1" applyBorder="1" applyAlignment="1">
      <alignment horizontal="center" vertical="center" wrapText="1"/>
    </xf>
    <xf numFmtId="3" fontId="3" fillId="0" borderId="2" xfId="59" applyNumberFormat="1" applyFont="1" applyFill="1" applyBorder="1" applyAlignment="1">
      <alignment horizontal="center" vertical="center" wrapText="1"/>
    </xf>
    <xf numFmtId="3" fontId="3" fillId="0" borderId="2" xfId="0" applyNumberFormat="1" applyFont="1" applyBorder="1" applyAlignment="1">
      <alignment horizontal="left" vertical="center"/>
    </xf>
    <xf numFmtId="0" fontId="3" fillId="0" borderId="5" xfId="0" applyFont="1" applyBorder="1" applyAlignment="1">
      <alignment horizontal="center" vertical="center" wrapText="1"/>
    </xf>
    <xf numFmtId="3" fontId="3" fillId="0" borderId="5" xfId="0" applyNumberFormat="1" applyFont="1" applyBorder="1" applyAlignment="1">
      <alignment horizontal="left" vertical="center"/>
    </xf>
    <xf numFmtId="3" fontId="3" fillId="0" borderId="5" xfId="59" applyNumberFormat="1" applyFont="1" applyFill="1" applyBorder="1" applyAlignment="1">
      <alignment horizontal="center" vertical="center" wrapText="1"/>
    </xf>
    <xf numFmtId="0" fontId="43" fillId="0" borderId="0" xfId="0" applyFont="1" applyAlignment="1">
      <alignment horizontal="center"/>
    </xf>
    <xf numFmtId="0" fontId="43" fillId="0" borderId="0" xfId="0" applyFont="1"/>
    <xf numFmtId="3" fontId="13" fillId="2" borderId="2" xfId="22" applyNumberFormat="1" applyFont="1" applyFill="1" applyBorder="1" applyAlignment="1">
      <alignment horizontal="center" vertical="center" wrapText="1"/>
    </xf>
    <xf numFmtId="3" fontId="13" fillId="2" borderId="2" xfId="14" applyNumberFormat="1" applyFont="1" applyFill="1" applyBorder="1" applyAlignment="1">
      <alignment horizontal="right" vertical="center" wrapText="1"/>
    </xf>
    <xf numFmtId="3" fontId="15" fillId="2" borderId="2" xfId="57" applyNumberFormat="1" applyFont="1" applyFill="1" applyBorder="1" applyAlignment="1">
      <alignment horizontal="right" vertical="center"/>
    </xf>
    <xf numFmtId="3" fontId="13" fillId="2" borderId="2" xfId="0" applyNumberFormat="1" applyFont="1" applyFill="1" applyBorder="1" applyAlignment="1">
      <alignment horizontal="center" vertical="center"/>
    </xf>
    <xf numFmtId="166" fontId="13" fillId="2" borderId="2" xfId="1" applyNumberFormat="1" applyFont="1" applyFill="1" applyBorder="1" applyAlignment="1">
      <alignment horizontal="right" vertical="center" wrapText="1"/>
    </xf>
    <xf numFmtId="166" fontId="13" fillId="2" borderId="2" xfId="1" applyNumberFormat="1" applyFont="1" applyFill="1" applyBorder="1" applyAlignment="1">
      <alignment horizontal="right" vertical="center"/>
    </xf>
    <xf numFmtId="166" fontId="13" fillId="2" borderId="2" xfId="1" applyNumberFormat="1" applyFont="1" applyFill="1" applyBorder="1" applyAlignment="1">
      <alignment horizontal="center" vertical="center"/>
    </xf>
    <xf numFmtId="3" fontId="13" fillId="2" borderId="2" xfId="8" applyNumberFormat="1" applyFont="1" applyFill="1" applyBorder="1" applyAlignment="1">
      <alignment horizontal="center" vertical="center" wrapText="1"/>
    </xf>
    <xf numFmtId="0" fontId="13" fillId="2" borderId="2" xfId="25" applyFont="1" applyFill="1" applyBorder="1" applyAlignment="1">
      <alignment horizontal="center" vertical="center" wrapText="1"/>
    </xf>
    <xf numFmtId="3" fontId="13" fillId="2" borderId="2" xfId="0" quotePrefix="1" applyNumberFormat="1" applyFont="1" applyFill="1" applyBorder="1" applyAlignment="1">
      <alignment horizontal="center" vertical="center"/>
    </xf>
    <xf numFmtId="3" fontId="13" fillId="2" borderId="2" xfId="0" applyNumberFormat="1" applyFont="1" applyFill="1" applyBorder="1" applyAlignment="1">
      <alignment horizontal="left" vertical="center" wrapText="1"/>
    </xf>
    <xf numFmtId="3" fontId="15" fillId="2" borderId="2" xfId="22" applyNumberFormat="1" applyFont="1" applyFill="1" applyBorder="1" applyAlignment="1">
      <alignment horizontal="center" vertical="center" wrapText="1"/>
    </xf>
    <xf numFmtId="3" fontId="15" fillId="2" borderId="2" xfId="0" quotePrefix="1" applyNumberFormat="1" applyFont="1" applyFill="1" applyBorder="1" applyAlignment="1">
      <alignment horizontal="center" vertical="center"/>
    </xf>
    <xf numFmtId="169" fontId="13" fillId="2" borderId="2" xfId="11" applyNumberFormat="1" applyFont="1" applyFill="1" applyBorder="1" applyAlignment="1">
      <alignment horizontal="left" vertical="center" wrapText="1"/>
    </xf>
    <xf numFmtId="166" fontId="15" fillId="2" borderId="2" xfId="1" applyNumberFormat="1" applyFont="1" applyFill="1" applyBorder="1" applyAlignment="1">
      <alignment horizontal="right" vertical="center" wrapText="1"/>
    </xf>
    <xf numFmtId="0" fontId="13" fillId="2" borderId="2" xfId="16" applyNumberFormat="1" applyFont="1" applyFill="1" applyBorder="1" applyAlignment="1" applyProtection="1">
      <alignment horizontal="left" vertical="center" wrapText="1"/>
    </xf>
    <xf numFmtId="173" fontId="13" fillId="2" borderId="2" xfId="0" applyNumberFormat="1" applyFont="1" applyFill="1" applyBorder="1" applyAlignment="1">
      <alignment horizontal="right" vertical="center" wrapText="1"/>
    </xf>
    <xf numFmtId="166" fontId="13" fillId="2" borderId="2" xfId="1" applyNumberFormat="1" applyFont="1" applyFill="1" applyBorder="1" applyAlignment="1">
      <alignment horizontal="center" vertical="center" wrapText="1"/>
    </xf>
    <xf numFmtId="166" fontId="15" fillId="2" borderId="2" xfId="1" applyNumberFormat="1" applyFont="1" applyFill="1" applyBorder="1" applyAlignment="1">
      <alignment horizontal="right" vertical="center"/>
    </xf>
    <xf numFmtId="166" fontId="13" fillId="2" borderId="2" xfId="1" applyNumberFormat="1" applyFont="1" applyFill="1" applyBorder="1" applyAlignment="1">
      <alignment vertical="center"/>
    </xf>
    <xf numFmtId="0" fontId="13" fillId="2" borderId="2" xfId="27" applyFont="1" applyFill="1" applyBorder="1" applyAlignment="1">
      <alignment vertical="center" wrapText="1"/>
    </xf>
    <xf numFmtId="3" fontId="18" fillId="2" borderId="2" xfId="0" quotePrefix="1" applyNumberFormat="1" applyFont="1" applyFill="1" applyBorder="1" applyAlignment="1">
      <alignment horizontal="center" vertical="center"/>
    </xf>
    <xf numFmtId="166" fontId="13" fillId="2" borderId="2" xfId="1" applyNumberFormat="1" applyFont="1" applyFill="1" applyBorder="1" applyAlignment="1">
      <alignment vertical="center" wrapText="1"/>
    </xf>
    <xf numFmtId="0" fontId="44" fillId="0" borderId="0" xfId="28" applyFont="1"/>
    <xf numFmtId="0" fontId="44" fillId="0" borderId="0" xfId="28" applyFont="1" applyAlignment="1">
      <alignment vertical="center"/>
    </xf>
    <xf numFmtId="3" fontId="44" fillId="0" borderId="0" xfId="0" applyNumberFormat="1" applyFont="1" applyAlignment="1">
      <alignment vertical="center"/>
    </xf>
    <xf numFmtId="0" fontId="13" fillId="2" borderId="2" xfId="63" applyFont="1" applyFill="1" applyBorder="1" applyAlignment="1">
      <alignment horizontal="center" vertical="center" wrapText="1"/>
    </xf>
    <xf numFmtId="0" fontId="36" fillId="2" borderId="0" xfId="0" applyFont="1" applyFill="1"/>
    <xf numFmtId="3" fontId="34" fillId="2" borderId="0" xfId="0" applyNumberFormat="1" applyFont="1" applyFill="1"/>
    <xf numFmtId="3" fontId="31" fillId="0" borderId="0" xfId="0" applyNumberFormat="1" applyFont="1"/>
    <xf numFmtId="3" fontId="41" fillId="0" borderId="0" xfId="0" applyNumberFormat="1" applyFont="1"/>
    <xf numFmtId="0" fontId="3" fillId="2" borderId="0" xfId="28" applyFont="1" applyFill="1" applyAlignment="1">
      <alignment vertical="center"/>
    </xf>
    <xf numFmtId="0" fontId="13" fillId="2" borderId="2" xfId="0" applyFont="1" applyFill="1" applyBorder="1"/>
    <xf numFmtId="41" fontId="22" fillId="2" borderId="4" xfId="1" applyNumberFormat="1" applyFont="1" applyFill="1" applyBorder="1" applyAlignment="1">
      <alignment horizontal="right" vertical="center"/>
    </xf>
    <xf numFmtId="41" fontId="22" fillId="2" borderId="2" xfId="1" applyNumberFormat="1" applyFont="1" applyFill="1" applyBorder="1" applyAlignment="1">
      <alignment horizontal="right" vertical="center"/>
    </xf>
    <xf numFmtId="41" fontId="24" fillId="2" borderId="2" xfId="1" applyNumberFormat="1" applyFont="1" applyFill="1" applyBorder="1" applyAlignment="1">
      <alignment horizontal="right" vertical="center"/>
    </xf>
    <xf numFmtId="41" fontId="21" fillId="2" borderId="2" xfId="1" applyNumberFormat="1" applyFont="1" applyFill="1" applyBorder="1" applyAlignment="1">
      <alignment horizontal="right" vertical="center"/>
    </xf>
    <xf numFmtId="41" fontId="45" fillId="2" borderId="2" xfId="1" applyNumberFormat="1" applyFont="1" applyFill="1" applyBorder="1" applyAlignment="1">
      <alignment horizontal="right" vertical="center"/>
    </xf>
    <xf numFmtId="41" fontId="42" fillId="2" borderId="2" xfId="1" applyNumberFormat="1" applyFont="1" applyFill="1" applyBorder="1" applyAlignment="1">
      <alignment horizontal="right" vertical="center"/>
    </xf>
    <xf numFmtId="41" fontId="21" fillId="2" borderId="5" xfId="1" applyNumberFormat="1" applyFont="1" applyFill="1" applyBorder="1" applyAlignment="1">
      <alignment horizontal="right" vertical="center"/>
    </xf>
    <xf numFmtId="41" fontId="2" fillId="0" borderId="4" xfId="0" applyNumberFormat="1" applyFont="1" applyBorder="1" applyAlignment="1">
      <alignment horizontal="right" vertical="center" wrapText="1"/>
    </xf>
    <xf numFmtId="41" fontId="3" fillId="0" borderId="2" xfId="0" applyNumberFormat="1" applyFont="1" applyBorder="1" applyAlignment="1">
      <alignment horizontal="right" vertical="center" wrapText="1"/>
    </xf>
    <xf numFmtId="41" fontId="3" fillId="0" borderId="2" xfId="59" applyNumberFormat="1" applyFont="1" applyFill="1" applyBorder="1" applyAlignment="1">
      <alignment horizontal="right" vertical="center" wrapText="1"/>
    </xf>
    <xf numFmtId="41" fontId="3" fillId="0" borderId="5" xfId="0" applyNumberFormat="1" applyFont="1" applyBorder="1" applyAlignment="1">
      <alignment horizontal="right" vertical="center" wrapText="1"/>
    </xf>
    <xf numFmtId="0" fontId="37" fillId="0" borderId="4" xfId="0" applyFont="1" applyBorder="1" applyAlignment="1">
      <alignment horizontal="center" vertical="center"/>
    </xf>
    <xf numFmtId="0" fontId="29" fillId="0" borderId="2" xfId="0" applyFont="1" applyBorder="1" applyAlignment="1">
      <alignment horizontal="center" vertical="center"/>
    </xf>
    <xf numFmtId="0" fontId="29" fillId="0" borderId="2" xfId="0" applyFont="1" applyBorder="1" applyAlignment="1">
      <alignment vertical="center" wrapText="1"/>
    </xf>
    <xf numFmtId="0" fontId="29" fillId="2" borderId="2" xfId="0" applyFont="1" applyFill="1" applyBorder="1" applyAlignment="1">
      <alignment horizontal="left" vertical="center" wrapText="1"/>
    </xf>
    <xf numFmtId="0" fontId="29" fillId="0" borderId="2" xfId="0" applyFont="1" applyBorder="1" applyAlignment="1">
      <alignment horizontal="left" vertical="center" wrapText="1"/>
    </xf>
    <xf numFmtId="0" fontId="29" fillId="0" borderId="2" xfId="11" applyNumberFormat="1" applyFont="1" applyFill="1" applyBorder="1" applyAlignment="1">
      <alignment horizontal="left" vertical="center" wrapText="1"/>
    </xf>
    <xf numFmtId="0" fontId="29" fillId="0" borderId="2" xfId="10" applyNumberFormat="1" applyFont="1" applyFill="1" applyBorder="1" applyAlignment="1">
      <alignment horizontal="left" vertical="center" wrapText="1"/>
    </xf>
    <xf numFmtId="0" fontId="29" fillId="0" borderId="2" xfId="26" applyFont="1" applyBorder="1" applyAlignment="1">
      <alignment vertical="center" wrapText="1"/>
    </xf>
    <xf numFmtId="0" fontId="29" fillId="0" borderId="2" xfId="0" applyFont="1" applyBorder="1" applyAlignment="1">
      <alignment horizontal="justify" vertical="center" wrapText="1"/>
    </xf>
    <xf numFmtId="0" fontId="34" fillId="0" borderId="0" xfId="0" applyFont="1" applyAlignment="1">
      <alignment vertical="center"/>
    </xf>
    <xf numFmtId="0" fontId="34" fillId="0" borderId="0" xfId="0" applyFont="1" applyAlignment="1">
      <alignment horizontal="center" vertical="center"/>
    </xf>
    <xf numFmtId="0" fontId="34" fillId="0" borderId="0" xfId="0" applyFont="1"/>
    <xf numFmtId="0" fontId="18" fillId="0" borderId="0" xfId="0" applyFont="1"/>
    <xf numFmtId="0" fontId="17" fillId="0" borderId="0" xfId="0" applyFont="1"/>
    <xf numFmtId="0" fontId="15" fillId="0" borderId="0" xfId="0" applyFont="1"/>
    <xf numFmtId="0" fontId="18" fillId="0" borderId="0" xfId="0" applyFont="1" applyAlignment="1">
      <alignment vertical="center"/>
    </xf>
    <xf numFmtId="0" fontId="15" fillId="0" borderId="0" xfId="0" applyFont="1" applyAlignment="1">
      <alignment vertical="center"/>
    </xf>
    <xf numFmtId="0" fontId="34" fillId="0" borderId="0" xfId="0" applyFont="1" applyAlignment="1">
      <alignment horizontal="center"/>
    </xf>
    <xf numFmtId="1" fontId="15" fillId="0" borderId="0" xfId="56" applyNumberFormat="1" applyFont="1" applyAlignment="1">
      <alignment horizontal="center" vertical="center"/>
    </xf>
    <xf numFmtId="1" fontId="13" fillId="0" borderId="0" xfId="56" applyNumberFormat="1" applyFont="1" applyAlignment="1">
      <alignment vertical="center"/>
    </xf>
    <xf numFmtId="1" fontId="13" fillId="0" borderId="0" xfId="56" applyNumberFormat="1" applyFont="1" applyAlignment="1">
      <alignment horizontal="center" vertical="center"/>
    </xf>
    <xf numFmtId="3" fontId="13" fillId="0" borderId="0" xfId="56" applyNumberFormat="1" applyFont="1" applyAlignment="1">
      <alignment horizontal="center" vertical="center"/>
    </xf>
    <xf numFmtId="1" fontId="18" fillId="0" borderId="0" xfId="56" applyNumberFormat="1" applyFont="1" applyAlignment="1">
      <alignment horizontal="center" vertical="center"/>
    </xf>
    <xf numFmtId="1" fontId="18" fillId="0" borderId="0" xfId="56" applyNumberFormat="1" applyFont="1" applyAlignment="1">
      <alignment vertical="center"/>
    </xf>
    <xf numFmtId="3" fontId="15" fillId="0" borderId="3" xfId="56" applyNumberFormat="1" applyFont="1" applyBorder="1" applyAlignment="1">
      <alignment horizontal="center" vertical="center" wrapText="1"/>
    </xf>
    <xf numFmtId="3" fontId="15" fillId="0" borderId="1" xfId="56" applyNumberFormat="1" applyFont="1" applyBorder="1" applyAlignment="1">
      <alignment horizontal="center" vertical="center" wrapText="1"/>
    </xf>
    <xf numFmtId="0" fontId="13" fillId="0" borderId="3" xfId="56" applyFont="1" applyBorder="1" applyAlignment="1">
      <alignment horizontal="center" vertical="center" wrapText="1"/>
    </xf>
    <xf numFmtId="3" fontId="13" fillId="0" borderId="3" xfId="56" applyNumberFormat="1" applyFont="1" applyBorder="1" applyAlignment="1">
      <alignment horizontal="center" vertical="center" wrapText="1"/>
    </xf>
    <xf numFmtId="3" fontId="13" fillId="0" borderId="1" xfId="56" applyNumberFormat="1" applyFont="1" applyBorder="1" applyAlignment="1">
      <alignment horizontal="center" vertical="center" wrapText="1"/>
    </xf>
    <xf numFmtId="49" fontId="15" fillId="0" borderId="4" xfId="56" quotePrefix="1" applyNumberFormat="1" applyFont="1" applyBorder="1" applyAlignment="1">
      <alignment horizontal="center" vertical="center" wrapText="1"/>
    </xf>
    <xf numFmtId="3" fontId="15" fillId="0" borderId="4" xfId="56" applyNumberFormat="1" applyFont="1" applyBorder="1" applyAlignment="1">
      <alignment horizontal="center" vertical="center" wrapText="1"/>
    </xf>
    <xf numFmtId="3" fontId="15" fillId="0" borderId="4" xfId="56" quotePrefix="1" applyNumberFormat="1" applyFont="1" applyBorder="1" applyAlignment="1">
      <alignment horizontal="center" vertical="center" wrapText="1"/>
    </xf>
    <xf numFmtId="3" fontId="15" fillId="0" borderId="4" xfId="56" quotePrefix="1" applyNumberFormat="1" applyFont="1" applyBorder="1" applyAlignment="1">
      <alignment horizontal="right" vertical="center" wrapText="1"/>
    </xf>
    <xf numFmtId="0" fontId="15" fillId="0" borderId="2" xfId="0" applyFont="1" applyBorder="1" applyAlignment="1">
      <alignment horizontal="center" vertical="center"/>
    </xf>
    <xf numFmtId="0" fontId="15" fillId="0" borderId="2" xfId="0" applyFont="1" applyBorder="1" applyAlignment="1">
      <alignment horizontal="justify" vertical="center" wrapText="1"/>
    </xf>
    <xf numFmtId="0" fontId="15" fillId="0" borderId="2" xfId="0" applyFont="1" applyBorder="1" applyAlignment="1">
      <alignment horizontal="center" vertical="center" wrapText="1"/>
    </xf>
    <xf numFmtId="3" fontId="15" fillId="0" borderId="2" xfId="0" applyNumberFormat="1" applyFont="1" applyBorder="1" applyAlignment="1">
      <alignment vertical="center"/>
    </xf>
    <xf numFmtId="3" fontId="15" fillId="0" borderId="2" xfId="0" applyNumberFormat="1" applyFont="1" applyBorder="1" applyAlignment="1">
      <alignment horizontal="center" vertical="center"/>
    </xf>
    <xf numFmtId="0" fontId="13" fillId="0" borderId="2" xfId="0" applyFont="1" applyBorder="1" applyAlignment="1">
      <alignment horizontal="center" vertical="center" wrapText="1"/>
    </xf>
    <xf numFmtId="49" fontId="17" fillId="0" borderId="2" xfId="56" applyNumberFormat="1" applyFont="1" applyBorder="1" applyAlignment="1">
      <alignment horizontal="center" vertical="center"/>
    </xf>
    <xf numFmtId="0" fontId="17" fillId="0" borderId="2" xfId="0" applyFont="1" applyBorder="1" applyAlignment="1">
      <alignment horizontal="justify" vertical="center" wrapText="1"/>
    </xf>
    <xf numFmtId="49" fontId="18" fillId="0" borderId="2" xfId="56" applyNumberFormat="1" applyFont="1" applyBorder="1" applyAlignment="1">
      <alignment horizontal="center" vertical="center"/>
    </xf>
    <xf numFmtId="0" fontId="18" fillId="0" borderId="2" xfId="0" applyFont="1" applyBorder="1" applyAlignment="1">
      <alignment horizontal="justify" vertical="center" wrapText="1"/>
    </xf>
    <xf numFmtId="3" fontId="18" fillId="0" borderId="2" xfId="0" applyNumberFormat="1" applyFont="1" applyBorder="1" applyAlignment="1">
      <alignment vertical="center"/>
    </xf>
    <xf numFmtId="3" fontId="18" fillId="0" borderId="2" xfId="0" applyNumberFormat="1" applyFont="1" applyBorder="1" applyAlignment="1">
      <alignment horizontal="center" vertical="center"/>
    </xf>
    <xf numFmtId="0" fontId="18" fillId="0" borderId="2" xfId="41" applyFont="1" applyBorder="1" applyAlignment="1">
      <alignment horizontal="justify" vertical="center" wrapText="1"/>
    </xf>
    <xf numFmtId="1" fontId="13" fillId="0" borderId="2" xfId="56" quotePrefix="1" applyNumberFormat="1" applyFont="1" applyBorder="1" applyAlignment="1">
      <alignment horizontal="center" vertical="center" wrapText="1"/>
    </xf>
    <xf numFmtId="0" fontId="18" fillId="0" borderId="2" xfId="0" quotePrefix="1" applyFont="1" applyBorder="1" applyAlignment="1">
      <alignment vertical="center" wrapText="1"/>
    </xf>
    <xf numFmtId="0" fontId="18" fillId="0" borderId="2" xfId="0" applyFont="1" applyBorder="1" applyAlignment="1">
      <alignment horizontal="center" vertical="center" wrapText="1"/>
    </xf>
    <xf numFmtId="0" fontId="17" fillId="0" borderId="2" xfId="0" applyFont="1" applyBorder="1" applyAlignment="1">
      <alignment horizontal="center" vertical="center" wrapText="1"/>
    </xf>
    <xf numFmtId="0" fontId="13" fillId="0" borderId="2" xfId="0" applyFont="1" applyBorder="1" applyAlignment="1">
      <alignment horizontal="center" vertical="center"/>
    </xf>
    <xf numFmtId="3" fontId="13" fillId="0" borderId="2" xfId="22" applyNumberFormat="1" applyFont="1" applyFill="1" applyBorder="1" applyAlignment="1">
      <alignment horizontal="right" vertical="center" wrapText="1"/>
    </xf>
    <xf numFmtId="1" fontId="13" fillId="0" borderId="2" xfId="56" applyNumberFormat="1" applyFont="1" applyBorder="1" applyAlignment="1">
      <alignment horizontal="center" vertical="center" wrapText="1"/>
    </xf>
    <xf numFmtId="3" fontId="18" fillId="0" borderId="2" xfId="22" applyNumberFormat="1" applyFont="1" applyFill="1" applyBorder="1" applyAlignment="1">
      <alignment horizontal="right" vertical="center" wrapText="1"/>
    </xf>
    <xf numFmtId="3" fontId="18" fillId="0" borderId="2" xfId="22" applyNumberFormat="1" applyFont="1" applyFill="1" applyBorder="1" applyAlignment="1">
      <alignment horizontal="center" vertical="center" wrapText="1"/>
    </xf>
    <xf numFmtId="0" fontId="18" fillId="0" borderId="2" xfId="0" applyFont="1" applyBorder="1" applyAlignment="1">
      <alignment horizontal="center" vertical="center"/>
    </xf>
    <xf numFmtId="3" fontId="13" fillId="0" borderId="2" xfId="56" quotePrefix="1" applyNumberFormat="1" applyFont="1" applyBorder="1" applyAlignment="1">
      <alignment horizontal="center" vertical="center" wrapText="1"/>
    </xf>
    <xf numFmtId="3" fontId="18" fillId="0" borderId="2" xfId="56" quotePrefix="1" applyNumberFormat="1" applyFont="1" applyBorder="1" applyAlignment="1">
      <alignment horizontal="center" vertical="center" wrapText="1"/>
    </xf>
    <xf numFmtId="3" fontId="17" fillId="0" borderId="2" xfId="22" applyNumberFormat="1" applyFont="1" applyFill="1" applyBorder="1" applyAlignment="1">
      <alignment horizontal="right" vertical="center" wrapText="1"/>
    </xf>
    <xf numFmtId="3" fontId="17" fillId="0" borderId="2" xfId="22" applyNumberFormat="1" applyFont="1" applyFill="1" applyBorder="1" applyAlignment="1">
      <alignment horizontal="center" vertical="center" wrapText="1"/>
    </xf>
    <xf numFmtId="3" fontId="13" fillId="0" borderId="2" xfId="22" applyNumberFormat="1" applyFont="1" applyFill="1" applyBorder="1" applyAlignment="1">
      <alignment horizontal="center" vertical="center" wrapText="1"/>
    </xf>
    <xf numFmtId="3" fontId="18" fillId="0" borderId="2" xfId="0" applyNumberFormat="1" applyFont="1" applyBorder="1" applyAlignment="1">
      <alignment horizontal="center" vertical="center" wrapText="1"/>
    </xf>
    <xf numFmtId="1" fontId="15" fillId="0" borderId="2" xfId="56" applyNumberFormat="1" applyFont="1" applyBorder="1" applyAlignment="1">
      <alignment horizontal="center" vertical="center"/>
    </xf>
    <xf numFmtId="0" fontId="13" fillId="0" borderId="2" xfId="0" applyFont="1" applyBorder="1" applyAlignment="1">
      <alignment horizontal="justify" vertical="center" wrapText="1"/>
    </xf>
    <xf numFmtId="0" fontId="15" fillId="0" borderId="2" xfId="0" applyFont="1" applyBorder="1" applyAlignment="1">
      <alignment vertical="center"/>
    </xf>
    <xf numFmtId="1" fontId="18" fillId="0" borderId="2" xfId="56" applyNumberFormat="1" applyFont="1" applyBorder="1" applyAlignment="1">
      <alignment vertical="center" wrapText="1"/>
    </xf>
    <xf numFmtId="0" fontId="18" fillId="0" borderId="2" xfId="0" applyFont="1" applyBorder="1" applyAlignment="1">
      <alignment vertical="center"/>
    </xf>
    <xf numFmtId="3" fontId="15" fillId="0" borderId="2" xfId="22" applyNumberFormat="1" applyFont="1" applyFill="1" applyBorder="1" applyAlignment="1">
      <alignment horizontal="right" vertical="center" wrapText="1"/>
    </xf>
    <xf numFmtId="3" fontId="15" fillId="0" borderId="2" xfId="22" applyNumberFormat="1" applyFont="1" applyFill="1" applyBorder="1" applyAlignment="1">
      <alignment horizontal="center" vertical="center" wrapText="1"/>
    </xf>
    <xf numFmtId="3" fontId="13" fillId="0" borderId="2" xfId="56" applyNumberFormat="1" applyFont="1" applyBorder="1" applyAlignment="1">
      <alignment horizontal="left" vertical="center" wrapText="1"/>
    </xf>
    <xf numFmtId="1" fontId="13" fillId="0" borderId="2" xfId="56" applyNumberFormat="1" applyFont="1" applyBorder="1" applyAlignment="1">
      <alignment horizontal="left" vertical="center" wrapText="1"/>
    </xf>
    <xf numFmtId="1" fontId="18" fillId="0" borderId="2" xfId="0" applyNumberFormat="1" applyFont="1" applyBorder="1" applyAlignment="1">
      <alignment horizontal="center" vertical="center"/>
    </xf>
    <xf numFmtId="49" fontId="15" fillId="0" borderId="2" xfId="56" applyNumberFormat="1" applyFont="1" applyBorder="1" applyAlignment="1">
      <alignment horizontal="center" vertical="center"/>
    </xf>
    <xf numFmtId="1" fontId="13" fillId="0" borderId="2" xfId="56" quotePrefix="1" applyNumberFormat="1" applyFont="1" applyBorder="1" applyAlignment="1">
      <alignment horizontal="center" vertical="center"/>
    </xf>
    <xf numFmtId="1" fontId="13" fillId="0" borderId="2" xfId="56" applyNumberFormat="1" applyFont="1" applyBorder="1" applyAlignment="1">
      <alignment vertical="center" wrapText="1"/>
    </xf>
    <xf numFmtId="3" fontId="15" fillId="0" borderId="2" xfId="22" applyNumberFormat="1" applyFont="1" applyFill="1" applyBorder="1" applyAlignment="1">
      <alignment horizontal="left" vertical="center" wrapText="1"/>
    </xf>
    <xf numFmtId="3" fontId="13" fillId="0" borderId="2" xfId="22" applyNumberFormat="1" applyFont="1" applyFill="1" applyBorder="1" applyAlignment="1">
      <alignment horizontal="left" vertical="center" wrapText="1"/>
    </xf>
    <xf numFmtId="1" fontId="15" fillId="0" borderId="2" xfId="56" quotePrefix="1" applyNumberFormat="1" applyFont="1" applyBorder="1" applyAlignment="1">
      <alignment horizontal="center" vertical="center"/>
    </xf>
    <xf numFmtId="0" fontId="15" fillId="0" borderId="2" xfId="16" applyNumberFormat="1" applyFont="1" applyFill="1" applyBorder="1" applyAlignment="1" applyProtection="1">
      <alignment horizontal="center" vertical="center" wrapText="1"/>
    </xf>
    <xf numFmtId="3" fontId="15" fillId="0" borderId="2" xfId="56" quotePrefix="1" applyNumberFormat="1" applyFont="1" applyBorder="1" applyAlignment="1">
      <alignment horizontal="center" vertical="center" wrapText="1"/>
    </xf>
    <xf numFmtId="164" fontId="15" fillId="0" borderId="2" xfId="16" applyNumberFormat="1" applyFont="1" applyFill="1" applyBorder="1" applyAlignment="1" applyProtection="1">
      <alignment horizontal="center" vertical="center" wrapText="1"/>
    </xf>
    <xf numFmtId="0" fontId="17" fillId="0" borderId="2" xfId="16" applyNumberFormat="1" applyFont="1" applyFill="1" applyBorder="1" applyAlignment="1" applyProtection="1">
      <alignment horizontal="center" vertical="center" wrapText="1"/>
    </xf>
    <xf numFmtId="3" fontId="17" fillId="0" borderId="2" xfId="56" quotePrefix="1" applyNumberFormat="1" applyFont="1" applyBorder="1" applyAlignment="1">
      <alignment horizontal="center" vertical="center" wrapText="1"/>
    </xf>
    <xf numFmtId="164" fontId="17" fillId="0" borderId="2" xfId="16" applyNumberFormat="1" applyFont="1" applyFill="1" applyBorder="1" applyAlignment="1" applyProtection="1">
      <alignment horizontal="right" vertical="center" wrapText="1"/>
    </xf>
    <xf numFmtId="164" fontId="17" fillId="0" borderId="2" xfId="16" applyNumberFormat="1" applyFont="1" applyFill="1" applyBorder="1" applyAlignment="1" applyProtection="1">
      <alignment horizontal="center" vertical="center" wrapText="1"/>
    </xf>
    <xf numFmtId="164" fontId="13" fillId="0" borderId="2" xfId="16" applyNumberFormat="1" applyFont="1" applyFill="1" applyBorder="1" applyAlignment="1" applyProtection="1">
      <alignment horizontal="center" vertical="center" wrapText="1"/>
    </xf>
    <xf numFmtId="164" fontId="18" fillId="0" borderId="2" xfId="16" applyNumberFormat="1" applyFont="1" applyFill="1" applyBorder="1" applyAlignment="1" applyProtection="1">
      <alignment horizontal="center" vertical="center" wrapText="1"/>
    </xf>
    <xf numFmtId="1" fontId="17" fillId="0" borderId="2" xfId="56" quotePrefix="1" applyNumberFormat="1" applyFont="1" applyBorder="1" applyAlignment="1">
      <alignment horizontal="center" vertical="center"/>
    </xf>
    <xf numFmtId="1" fontId="18" fillId="0" borderId="2" xfId="56" applyNumberFormat="1" applyFont="1" applyBorder="1" applyAlignment="1">
      <alignment horizontal="left" vertical="center" wrapText="1"/>
    </xf>
    <xf numFmtId="41" fontId="52" fillId="0" borderId="2" xfId="59" applyNumberFormat="1" applyFont="1" applyFill="1" applyBorder="1" applyAlignment="1">
      <alignment horizontal="right" vertical="center" wrapText="1"/>
    </xf>
    <xf numFmtId="41" fontId="3" fillId="0" borderId="5" xfId="0" applyNumberFormat="1" applyFont="1" applyBorder="1" applyAlignment="1">
      <alignment horizontal="right" vertical="center"/>
    </xf>
    <xf numFmtId="41" fontId="2" fillId="0" borderId="0" xfId="0" applyNumberFormat="1" applyFont="1" applyAlignment="1">
      <alignment vertical="center"/>
    </xf>
    <xf numFmtId="3" fontId="32" fillId="0" borderId="1" xfId="0" applyNumberFormat="1" applyFont="1" applyBorder="1"/>
    <xf numFmtId="41" fontId="3" fillId="0" borderId="0" xfId="0" applyNumberFormat="1" applyFont="1" applyAlignment="1">
      <alignment vertical="center"/>
    </xf>
    <xf numFmtId="3" fontId="51" fillId="0" borderId="0" xfId="0" applyNumberFormat="1" applyFont="1"/>
    <xf numFmtId="166" fontId="13" fillId="2" borderId="0" xfId="0" applyNumberFormat="1" applyFont="1" applyFill="1" applyAlignment="1">
      <alignment vertical="center"/>
    </xf>
    <xf numFmtId="0" fontId="15" fillId="2" borderId="0" xfId="0" applyFont="1" applyFill="1"/>
    <xf numFmtId="0" fontId="13" fillId="0" borderId="5" xfId="0" quotePrefix="1" applyFont="1" applyBorder="1" applyAlignment="1">
      <alignment horizontal="center" vertical="center"/>
    </xf>
    <xf numFmtId="0" fontId="13" fillId="0" borderId="5" xfId="0" applyFont="1" applyBorder="1" applyAlignment="1">
      <alignment horizontal="left" vertical="center" wrapText="1"/>
    </xf>
    <xf numFmtId="0" fontId="13" fillId="0" borderId="5" xfId="0" applyFont="1" applyBorder="1" applyAlignment="1">
      <alignment horizontal="justify" vertical="center" wrapText="1"/>
    </xf>
    <xf numFmtId="1" fontId="13" fillId="0" borderId="5" xfId="0" applyNumberFormat="1" applyFont="1" applyBorder="1" applyAlignment="1">
      <alignment horizontal="center" vertical="center" wrapText="1"/>
    </xf>
    <xf numFmtId="3" fontId="13" fillId="0" borderId="5" xfId="0" applyNumberFormat="1" applyFont="1" applyBorder="1" applyAlignment="1">
      <alignment horizontal="right" vertical="center"/>
    </xf>
    <xf numFmtId="3" fontId="13" fillId="0" borderId="5" xfId="22" applyNumberFormat="1" applyFont="1" applyFill="1" applyBorder="1" applyAlignment="1">
      <alignment horizontal="right" vertical="center" wrapText="1"/>
    </xf>
    <xf numFmtId="164" fontId="13" fillId="0" borderId="5" xfId="14" applyNumberFormat="1" applyFont="1" applyFill="1" applyBorder="1" applyAlignment="1">
      <alignment horizontal="center" vertical="center" wrapText="1"/>
    </xf>
    <xf numFmtId="41" fontId="31" fillId="0" borderId="0" xfId="0" applyNumberFormat="1" applyFont="1"/>
    <xf numFmtId="0" fontId="13" fillId="0" borderId="5" xfId="34" applyFont="1" applyBorder="1" applyAlignment="1">
      <alignment horizontal="center" vertical="center" wrapText="1"/>
    </xf>
    <xf numFmtId="49" fontId="15" fillId="0" borderId="10" xfId="56" applyNumberFormat="1" applyFont="1" applyBorder="1" applyAlignment="1">
      <alignment horizontal="center" vertical="center"/>
    </xf>
    <xf numFmtId="166" fontId="15" fillId="0" borderId="10" xfId="67" applyNumberFormat="1" applyFont="1" applyFill="1" applyBorder="1" applyAlignment="1">
      <alignment horizontal="justify" vertical="center" wrapText="1"/>
    </xf>
    <xf numFmtId="166" fontId="15" fillId="0" borderId="10" xfId="67" applyNumberFormat="1" applyFont="1" applyFill="1" applyBorder="1" applyAlignment="1">
      <alignment horizontal="center" vertical="center" wrapText="1"/>
    </xf>
    <xf numFmtId="0" fontId="13" fillId="0" borderId="10" xfId="0" applyFont="1" applyBorder="1"/>
    <xf numFmtId="0" fontId="13" fillId="0" borderId="10" xfId="0" applyFont="1" applyBorder="1" applyAlignment="1">
      <alignment horizontal="center"/>
    </xf>
    <xf numFmtId="3" fontId="15" fillId="0" borderId="10" xfId="0" applyNumberFormat="1" applyFont="1" applyBorder="1" applyAlignment="1">
      <alignment vertical="center"/>
    </xf>
    <xf numFmtId="3" fontId="15" fillId="0" borderId="10" xfId="0" applyNumberFormat="1" applyFont="1" applyBorder="1" applyAlignment="1">
      <alignment horizontal="center" vertical="center"/>
    </xf>
    <xf numFmtId="0" fontId="13" fillId="0" borderId="5" xfId="0" applyFont="1" applyBorder="1" applyAlignment="1">
      <alignment horizontal="center" vertical="center" wrapText="1"/>
    </xf>
    <xf numFmtId="0" fontId="29" fillId="2" borderId="0" xfId="28" applyFont="1" applyFill="1"/>
    <xf numFmtId="0" fontId="39" fillId="2" borderId="0" xfId="28" applyFont="1" applyFill="1" applyAlignment="1">
      <alignment horizontal="center"/>
    </xf>
    <xf numFmtId="0" fontId="29" fillId="2" borderId="1" xfId="28" quotePrefix="1" applyFont="1" applyFill="1" applyBorder="1" applyAlignment="1">
      <alignment horizontal="center" vertical="center"/>
    </xf>
    <xf numFmtId="3" fontId="29" fillId="2" borderId="2" xfId="0" applyNumberFormat="1" applyFont="1" applyFill="1" applyBorder="1" applyAlignment="1">
      <alignment vertical="center"/>
    </xf>
    <xf numFmtId="3" fontId="37" fillId="2" borderId="2" xfId="56" quotePrefix="1" applyNumberFormat="1" applyFont="1" applyFill="1" applyBorder="1" applyAlignment="1">
      <alignment horizontal="right" vertical="center" wrapText="1"/>
    </xf>
    <xf numFmtId="3" fontId="44" fillId="2" borderId="0" xfId="28" applyNumberFormat="1" applyFont="1" applyFill="1"/>
    <xf numFmtId="180" fontId="44" fillId="2" borderId="0" xfId="28" applyNumberFormat="1" applyFont="1" applyFill="1"/>
    <xf numFmtId="0" fontId="3" fillId="2" borderId="0" xfId="28" applyFont="1" applyFill="1"/>
    <xf numFmtId="0" fontId="37" fillId="2" borderId="1" xfId="28" applyFont="1" applyFill="1" applyBorder="1" applyAlignment="1">
      <alignment horizontal="center" vertical="center" wrapText="1"/>
    </xf>
    <xf numFmtId="0" fontId="44" fillId="2" borderId="0" xfId="28" applyFont="1" applyFill="1"/>
    <xf numFmtId="166" fontId="44" fillId="2" borderId="0" xfId="1" applyNumberFormat="1" applyFont="1" applyFill="1"/>
    <xf numFmtId="0" fontId="15" fillId="2" borderId="1" xfId="0" applyFont="1" applyFill="1" applyBorder="1" applyAlignment="1">
      <alignment horizontal="center" vertical="center" wrapText="1"/>
    </xf>
    <xf numFmtId="0" fontId="14" fillId="2" borderId="0" xfId="0" applyFont="1" applyFill="1"/>
    <xf numFmtId="0" fontId="53" fillId="0" borderId="0" xfId="0" applyFont="1"/>
    <xf numFmtId="0" fontId="54" fillId="2" borderId="0" xfId="0" applyFont="1" applyFill="1"/>
    <xf numFmtId="0" fontId="55" fillId="0" borderId="0" xfId="0" applyFont="1"/>
    <xf numFmtId="0" fontId="54" fillId="2" borderId="0" xfId="0" applyFont="1" applyFill="1" applyAlignment="1">
      <alignment vertical="center"/>
    </xf>
    <xf numFmtId="0" fontId="57" fillId="0" borderId="0" xfId="0" applyFont="1"/>
    <xf numFmtId="0" fontId="17" fillId="0" borderId="0" xfId="0" applyFont="1" applyAlignment="1">
      <alignment vertical="center"/>
    </xf>
    <xf numFmtId="0" fontId="21" fillId="2" borderId="0" xfId="0" applyFont="1" applyFill="1"/>
    <xf numFmtId="0" fontId="13" fillId="0" borderId="0" xfId="0" applyFont="1" applyAlignment="1">
      <alignment horizontal="center"/>
    </xf>
    <xf numFmtId="3" fontId="44" fillId="0" borderId="0" xfId="28" applyNumberFormat="1" applyFont="1"/>
    <xf numFmtId="168" fontId="58" fillId="0" borderId="0" xfId="0" applyNumberFormat="1" applyFont="1"/>
    <xf numFmtId="3" fontId="58" fillId="0" borderId="0" xfId="0" applyNumberFormat="1" applyFont="1"/>
    <xf numFmtId="4" fontId="58" fillId="0" borderId="0" xfId="0" applyNumberFormat="1" applyFont="1"/>
    <xf numFmtId="0" fontId="58" fillId="0" borderId="0" xfId="0" applyFont="1"/>
    <xf numFmtId="0" fontId="44" fillId="0" borderId="0" xfId="0" applyFont="1" applyAlignment="1">
      <alignment vertical="center"/>
    </xf>
    <xf numFmtId="0" fontId="44" fillId="2" borderId="0" xfId="28" applyFont="1" applyFill="1" applyAlignment="1">
      <alignment vertical="center"/>
    </xf>
    <xf numFmtId="3" fontId="44" fillId="2" borderId="0" xfId="0" applyNumberFormat="1" applyFont="1" applyFill="1" applyAlignment="1">
      <alignment vertical="center"/>
    </xf>
    <xf numFmtId="0" fontId="44" fillId="2" borderId="0" xfId="0" applyFont="1" applyFill="1" applyAlignment="1">
      <alignment horizontal="center" vertical="center"/>
    </xf>
    <xf numFmtId="3" fontId="44" fillId="2" borderId="0" xfId="28" applyNumberFormat="1" applyFont="1" applyFill="1" applyAlignment="1">
      <alignment vertical="center"/>
    </xf>
    <xf numFmtId="3" fontId="44" fillId="2" borderId="0" xfId="1" applyNumberFormat="1" applyFont="1" applyFill="1" applyBorder="1" applyAlignment="1">
      <alignment vertical="center"/>
    </xf>
    <xf numFmtId="0" fontId="29" fillId="2" borderId="2" xfId="26" applyFont="1" applyFill="1" applyBorder="1" applyAlignment="1">
      <alignment vertical="center" wrapText="1"/>
    </xf>
    <xf numFmtId="0" fontId="29" fillId="0" borderId="11" xfId="0" applyFont="1" applyBorder="1" applyAlignment="1">
      <alignment horizontal="center" vertical="center"/>
    </xf>
    <xf numFmtId="3" fontId="29" fillId="0" borderId="11" xfId="0" applyNumberFormat="1" applyFont="1" applyBorder="1" applyAlignment="1">
      <alignment vertical="center"/>
    </xf>
    <xf numFmtId="0" fontId="37" fillId="0" borderId="0" xfId="28" applyFont="1" applyAlignment="1">
      <alignment horizontal="centerContinuous"/>
    </xf>
    <xf numFmtId="0" fontId="29" fillId="0" borderId="0" xfId="28" applyFont="1" applyAlignment="1">
      <alignment horizontal="centerContinuous"/>
    </xf>
    <xf numFmtId="0" fontId="29" fillId="2" borderId="0" xfId="28" applyFont="1" applyFill="1" applyAlignment="1">
      <alignment horizontal="centerContinuous"/>
    </xf>
    <xf numFmtId="3" fontId="29" fillId="2" borderId="2" xfId="28" applyNumberFormat="1" applyFont="1" applyFill="1" applyBorder="1" applyAlignment="1">
      <alignment vertical="center"/>
    </xf>
    <xf numFmtId="3" fontId="29" fillId="0" borderId="2" xfId="28" applyNumberFormat="1" applyFont="1" applyBorder="1" applyAlignment="1">
      <alignment vertical="center"/>
    </xf>
    <xf numFmtId="0" fontId="29" fillId="2" borderId="2" xfId="0" applyFont="1" applyFill="1" applyBorder="1" applyAlignment="1">
      <alignment vertical="center" wrapText="1"/>
    </xf>
    <xf numFmtId="0" fontId="29" fillId="0" borderId="2" xfId="0" applyFont="1" applyBorder="1" applyAlignment="1">
      <alignment vertical="center"/>
    </xf>
    <xf numFmtId="3" fontId="29" fillId="2" borderId="2" xfId="1" applyNumberFormat="1" applyFont="1" applyFill="1" applyBorder="1" applyAlignment="1">
      <alignment vertical="center"/>
    </xf>
    <xf numFmtId="0" fontId="29" fillId="0" borderId="2" xfId="28" applyFont="1" applyBorder="1" applyAlignment="1">
      <alignment vertical="center"/>
    </xf>
    <xf numFmtId="3" fontId="29" fillId="0" borderId="2" xfId="1" applyNumberFormat="1" applyFont="1" applyFill="1" applyBorder="1" applyAlignment="1">
      <alignment vertical="center"/>
    </xf>
    <xf numFmtId="3" fontId="29" fillId="2" borderId="11" xfId="28" applyNumberFormat="1" applyFont="1" applyFill="1" applyBorder="1" applyAlignment="1">
      <alignment vertical="center"/>
    </xf>
    <xf numFmtId="3" fontId="29" fillId="0" borderId="11" xfId="28" applyNumberFormat="1" applyFont="1" applyBorder="1" applyAlignment="1">
      <alignment vertical="center"/>
    </xf>
    <xf numFmtId="3" fontId="29" fillId="0" borderId="11" xfId="1" applyNumberFormat="1" applyFont="1" applyFill="1" applyBorder="1" applyAlignment="1">
      <alignment vertical="center"/>
    </xf>
    <xf numFmtId="3" fontId="29" fillId="2" borderId="5" xfId="28" applyNumberFormat="1" applyFont="1" applyFill="1" applyBorder="1" applyAlignment="1">
      <alignment vertical="center"/>
    </xf>
    <xf numFmtId="0" fontId="29" fillId="2" borderId="5" xfId="0" applyFont="1" applyFill="1" applyBorder="1" applyAlignment="1">
      <alignment horizontal="center" vertical="center"/>
    </xf>
    <xf numFmtId="0" fontId="35" fillId="2" borderId="5" xfId="28" applyFont="1" applyFill="1" applyBorder="1" applyAlignment="1">
      <alignment vertical="center" wrapText="1"/>
    </xf>
    <xf numFmtId="3" fontId="29" fillId="2" borderId="5" xfId="0" applyNumberFormat="1" applyFont="1" applyFill="1" applyBorder="1" applyAlignment="1">
      <alignment vertical="center"/>
    </xf>
    <xf numFmtId="3" fontId="44" fillId="0" borderId="0" xfId="28" applyNumberFormat="1" applyFont="1" applyAlignment="1">
      <alignment vertical="center"/>
    </xf>
    <xf numFmtId="3" fontId="15" fillId="2" borderId="4" xfId="0" applyNumberFormat="1" applyFont="1" applyFill="1" applyBorder="1" applyAlignment="1">
      <alignment horizontal="center" vertical="center" wrapText="1"/>
    </xf>
    <xf numFmtId="166" fontId="15" fillId="2" borderId="4" xfId="1" applyNumberFormat="1" applyFont="1" applyFill="1" applyBorder="1" applyAlignment="1">
      <alignment horizontal="center" vertical="center" wrapText="1"/>
    </xf>
    <xf numFmtId="3" fontId="15" fillId="2" borderId="2" xfId="0" applyNumberFormat="1" applyFont="1" applyFill="1" applyBorder="1" applyAlignment="1">
      <alignment horizontal="center" vertical="center" wrapText="1"/>
    </xf>
    <xf numFmtId="3" fontId="15" fillId="2" borderId="2" xfId="0" applyNumberFormat="1" applyFont="1" applyFill="1" applyBorder="1" applyAlignment="1">
      <alignment horizontal="left" vertical="center" wrapText="1"/>
    </xf>
    <xf numFmtId="1" fontId="15" fillId="2" borderId="2" xfId="0" applyNumberFormat="1" applyFont="1" applyFill="1" applyBorder="1" applyAlignment="1">
      <alignment horizontal="center" vertical="center" wrapText="1"/>
    </xf>
    <xf numFmtId="166" fontId="15" fillId="2" borderId="2" xfId="1" applyNumberFormat="1" applyFont="1" applyFill="1" applyBorder="1" applyAlignment="1">
      <alignment horizontal="center" vertical="center" wrapText="1"/>
    </xf>
    <xf numFmtId="3" fontId="13" fillId="0" borderId="2" xfId="0" applyNumberFormat="1" applyFont="1" applyBorder="1" applyAlignment="1">
      <alignment horizontal="center" vertical="center" wrapText="1"/>
    </xf>
    <xf numFmtId="1" fontId="13" fillId="2" borderId="2" xfId="57" applyNumberFormat="1" applyFont="1" applyFill="1" applyBorder="1" applyAlignment="1">
      <alignment horizontal="center" vertical="center" wrapText="1"/>
    </xf>
    <xf numFmtId="3" fontId="15" fillId="0" borderId="2" xfId="0" applyNumberFormat="1" applyFont="1" applyBorder="1" applyAlignment="1">
      <alignment horizontal="center" vertical="center" wrapText="1"/>
    </xf>
    <xf numFmtId="1" fontId="15" fillId="2" borderId="2" xfId="57" applyNumberFormat="1" applyFont="1" applyFill="1" applyBorder="1" applyAlignment="1">
      <alignment horizontal="center" vertical="center" wrapText="1"/>
    </xf>
    <xf numFmtId="0" fontId="15" fillId="2" borderId="2" xfId="0" applyFont="1" applyFill="1" applyBorder="1" applyAlignment="1">
      <alignment horizontal="left" vertical="center" wrapText="1"/>
    </xf>
    <xf numFmtId="0" fontId="13" fillId="2" borderId="2" xfId="0" applyFont="1" applyFill="1" applyBorder="1" applyAlignment="1">
      <alignment horizontal="center" vertical="center"/>
    </xf>
    <xf numFmtId="41" fontId="13" fillId="0" borderId="2" xfId="0" applyNumberFormat="1" applyFont="1" applyBorder="1" applyAlignment="1">
      <alignment horizontal="right" vertical="center" wrapText="1"/>
    </xf>
    <xf numFmtId="0" fontId="13" fillId="2" borderId="2" xfId="0" quotePrefix="1" applyFont="1" applyFill="1" applyBorder="1" applyAlignment="1">
      <alignment vertical="center" wrapText="1"/>
    </xf>
    <xf numFmtId="3" fontId="13" fillId="2" borderId="2" xfId="56" quotePrefix="1" applyNumberFormat="1" applyFont="1" applyFill="1" applyBorder="1" applyAlignment="1">
      <alignment horizontal="center" vertical="center" wrapText="1"/>
    </xf>
    <xf numFmtId="0" fontId="15" fillId="2" borderId="2" xfId="0" applyFont="1" applyFill="1" applyBorder="1" applyAlignment="1">
      <alignment horizontal="justify" vertical="center" wrapText="1"/>
    </xf>
    <xf numFmtId="167" fontId="15" fillId="2" borderId="2" xfId="0" applyNumberFormat="1" applyFont="1" applyFill="1" applyBorder="1" applyAlignment="1">
      <alignment horizontal="center" vertical="center" wrapText="1"/>
    </xf>
    <xf numFmtId="3" fontId="15" fillId="2" borderId="2" xfId="56" applyNumberFormat="1"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2" xfId="63" applyFont="1" applyFill="1" applyBorder="1" applyAlignment="1">
      <alignment horizontal="center" vertical="center" wrapText="1"/>
    </xf>
    <xf numFmtId="0" fontId="13" fillId="2" borderId="5" xfId="0" applyFont="1" applyFill="1" applyBorder="1" applyAlignment="1">
      <alignment horizontal="justify" vertical="center" wrapText="1"/>
    </xf>
    <xf numFmtId="3" fontId="13" fillId="2" borderId="5" xfId="22" applyNumberFormat="1" applyFont="1" applyFill="1" applyBorder="1" applyAlignment="1">
      <alignment horizontal="right" vertical="center" wrapText="1"/>
    </xf>
    <xf numFmtId="0" fontId="33" fillId="2" borderId="0" xfId="0" applyFont="1" applyFill="1"/>
    <xf numFmtId="0" fontId="33" fillId="0" borderId="0" xfId="0" applyFont="1"/>
    <xf numFmtId="0" fontId="18" fillId="2" borderId="2" xfId="0" applyFont="1" applyFill="1" applyBorder="1" applyAlignment="1">
      <alignment horizontal="justify" vertical="center" wrapText="1"/>
    </xf>
    <xf numFmtId="0" fontId="18" fillId="2" borderId="2" xfId="0" applyFont="1" applyFill="1" applyBorder="1" applyAlignment="1">
      <alignment horizontal="center" vertical="center"/>
    </xf>
    <xf numFmtId="0" fontId="18" fillId="2" borderId="2" xfId="0" applyFont="1" applyFill="1" applyBorder="1" applyAlignment="1">
      <alignment horizontal="center" vertical="center" wrapText="1"/>
    </xf>
    <xf numFmtId="0" fontId="18" fillId="2" borderId="2" xfId="0" applyFont="1" applyFill="1" applyBorder="1"/>
    <xf numFmtId="0" fontId="18" fillId="2" borderId="2" xfId="0" applyFont="1" applyFill="1" applyBorder="1" applyAlignment="1">
      <alignment horizontal="center"/>
    </xf>
    <xf numFmtId="3" fontId="18" fillId="2" borderId="2" xfId="0" applyNumberFormat="1" applyFont="1" applyFill="1" applyBorder="1" applyAlignment="1">
      <alignment vertical="center"/>
    </xf>
    <xf numFmtId="3" fontId="18" fillId="2" borderId="2" xfId="0" applyNumberFormat="1" applyFont="1" applyFill="1" applyBorder="1" applyAlignment="1">
      <alignment horizontal="center" vertical="center"/>
    </xf>
    <xf numFmtId="49" fontId="13" fillId="2" borderId="1" xfId="56" quotePrefix="1" applyNumberFormat="1" applyFont="1" applyFill="1" applyBorder="1" applyAlignment="1">
      <alignment horizontal="center" vertical="center"/>
    </xf>
    <xf numFmtId="1" fontId="13" fillId="2" borderId="1" xfId="31" applyNumberFormat="1" applyFont="1" applyFill="1" applyBorder="1" applyAlignment="1">
      <alignment horizontal="center" vertical="center"/>
    </xf>
    <xf numFmtId="3" fontId="61" fillId="0" borderId="0" xfId="28" applyNumberFormat="1" applyFont="1" applyAlignment="1">
      <alignment vertical="center"/>
    </xf>
    <xf numFmtId="3" fontId="29" fillId="0" borderId="5" xfId="0" applyNumberFormat="1" applyFont="1" applyBorder="1" applyAlignment="1">
      <alignment vertical="center"/>
    </xf>
    <xf numFmtId="184" fontId="44" fillId="2" borderId="0" xfId="28" applyNumberFormat="1" applyFont="1" applyFill="1" applyAlignment="1">
      <alignment vertical="center"/>
    </xf>
    <xf numFmtId="0" fontId="13" fillId="2" borderId="0" xfId="0" applyFont="1" applyFill="1" applyAlignment="1">
      <alignment horizontal="center" vertical="center"/>
    </xf>
    <xf numFmtId="0" fontId="18" fillId="2" borderId="0" xfId="0" applyFont="1" applyFill="1" applyAlignment="1">
      <alignment horizontal="center" vertical="center"/>
    </xf>
    <xf numFmtId="0" fontId="29" fillId="0" borderId="11" xfId="28" applyFont="1" applyBorder="1" applyAlignment="1">
      <alignment vertical="center" wrapText="1"/>
    </xf>
    <xf numFmtId="0" fontId="3" fillId="2" borderId="2" xfId="0" applyFont="1" applyFill="1" applyBorder="1" applyAlignment="1">
      <alignment vertical="center" wrapText="1"/>
    </xf>
    <xf numFmtId="1" fontId="3" fillId="2" borderId="2" xfId="14"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166" fontId="3" fillId="2" borderId="2" xfId="1" applyNumberFormat="1" applyFont="1" applyFill="1" applyBorder="1" applyAlignment="1">
      <alignment vertical="center" wrapText="1"/>
    </xf>
    <xf numFmtId="3" fontId="60" fillId="2" borderId="0" xfId="0" applyNumberFormat="1" applyFont="1" applyFill="1"/>
    <xf numFmtId="0" fontId="13" fillId="2" borderId="1" xfId="39" applyFont="1" applyFill="1" applyBorder="1" applyAlignment="1">
      <alignment horizontal="left" vertical="center" wrapText="1"/>
    </xf>
    <xf numFmtId="1" fontId="13" fillId="2" borderId="2" xfId="31" applyNumberFormat="1" applyFont="1" applyFill="1" applyBorder="1" applyAlignment="1">
      <alignment horizontal="center" vertical="center"/>
    </xf>
    <xf numFmtId="0" fontId="13" fillId="2" borderId="0" xfId="0" applyFont="1" applyFill="1" applyAlignment="1">
      <alignment horizontal="center" vertical="center" wrapText="1"/>
    </xf>
    <xf numFmtId="3" fontId="13" fillId="2" borderId="2" xfId="56" applyNumberFormat="1" applyFont="1" applyFill="1" applyBorder="1" applyAlignment="1">
      <alignment horizontal="center" vertical="center" wrapText="1"/>
    </xf>
    <xf numFmtId="0" fontId="21" fillId="2" borderId="2" xfId="0" applyFont="1" applyFill="1" applyBorder="1" applyAlignment="1">
      <alignment horizontal="center" vertical="center" wrapText="1"/>
    </xf>
    <xf numFmtId="0" fontId="13" fillId="2" borderId="1" xfId="0" applyFont="1" applyFill="1" applyBorder="1" applyAlignment="1">
      <alignment horizontal="left" vertical="center" wrapText="1"/>
    </xf>
    <xf numFmtId="0" fontId="13" fillId="2" borderId="1" xfId="0" applyFont="1" applyFill="1" applyBorder="1" applyAlignment="1">
      <alignment vertical="center"/>
    </xf>
    <xf numFmtId="0" fontId="13" fillId="2" borderId="1" xfId="0" applyFont="1" applyFill="1" applyBorder="1" applyAlignment="1">
      <alignment horizontal="center" vertical="center" wrapText="1"/>
    </xf>
    <xf numFmtId="3" fontId="13" fillId="2" borderId="1" xfId="0" applyNumberFormat="1" applyFont="1" applyFill="1" applyBorder="1" applyAlignment="1">
      <alignment vertical="center"/>
    </xf>
    <xf numFmtId="1" fontId="15" fillId="2" borderId="0" xfId="56" applyNumberFormat="1" applyFont="1" applyFill="1" applyAlignment="1">
      <alignment horizontal="center" vertical="center"/>
    </xf>
    <xf numFmtId="1" fontId="13" fillId="2" borderId="0" xfId="56" applyNumberFormat="1" applyFont="1" applyFill="1" applyAlignment="1">
      <alignment vertical="center"/>
    </xf>
    <xf numFmtId="1" fontId="13" fillId="2" borderId="0" xfId="56" applyNumberFormat="1" applyFont="1" applyFill="1" applyAlignment="1">
      <alignment horizontal="center" vertical="center"/>
    </xf>
    <xf numFmtId="0" fontId="34" fillId="2" borderId="0" xfId="0" applyFont="1" applyFill="1" applyAlignment="1">
      <alignment horizontal="center" vertical="center"/>
    </xf>
    <xf numFmtId="0" fontId="34" fillId="2" borderId="0" xfId="0" applyFont="1" applyFill="1" applyAlignment="1">
      <alignment vertical="center"/>
    </xf>
    <xf numFmtId="166" fontId="34" fillId="2" borderId="0" xfId="0" applyNumberFormat="1" applyFont="1" applyFill="1"/>
    <xf numFmtId="183" fontId="34" fillId="2" borderId="0" xfId="0" applyNumberFormat="1" applyFont="1" applyFill="1"/>
    <xf numFmtId="166" fontId="34" fillId="2" borderId="0" xfId="1" applyNumberFormat="1" applyFont="1" applyFill="1"/>
    <xf numFmtId="1" fontId="18" fillId="2" borderId="0" xfId="56" applyNumberFormat="1" applyFont="1" applyFill="1" applyAlignment="1">
      <alignment horizontal="center" vertical="center"/>
    </xf>
    <xf numFmtId="1" fontId="18" fillId="2" borderId="0" xfId="56" applyNumberFormat="1" applyFont="1" applyFill="1" applyAlignment="1">
      <alignment vertical="center"/>
    </xf>
    <xf numFmtId="1" fontId="18" fillId="2" borderId="8" xfId="56" applyNumberFormat="1" applyFont="1" applyFill="1" applyBorder="1" applyAlignment="1">
      <alignment vertical="center"/>
    </xf>
    <xf numFmtId="3" fontId="34" fillId="2" borderId="1" xfId="0" applyNumberFormat="1" applyFont="1" applyFill="1" applyBorder="1" applyAlignment="1">
      <alignment horizontal="center" vertical="center"/>
    </xf>
    <xf numFmtId="0" fontId="34" fillId="2" borderId="1" xfId="0" applyFont="1" applyFill="1" applyBorder="1" applyAlignment="1">
      <alignment horizontal="center" vertical="center"/>
    </xf>
    <xf numFmtId="166" fontId="34" fillId="2" borderId="0" xfId="1" applyNumberFormat="1" applyFont="1" applyFill="1" applyAlignment="1">
      <alignment horizontal="center" vertical="center"/>
    </xf>
    <xf numFmtId="166" fontId="34" fillId="2" borderId="0" xfId="0" applyNumberFormat="1" applyFont="1" applyFill="1" applyAlignment="1">
      <alignment horizontal="center" vertical="center"/>
    </xf>
    <xf numFmtId="0" fontId="34" fillId="2" borderId="0" xfId="0" applyFont="1" applyFill="1" applyAlignment="1">
      <alignment horizontal="center" vertical="center" wrapText="1"/>
    </xf>
    <xf numFmtId="3" fontId="15" fillId="2" borderId="1" xfId="56" applyNumberFormat="1" applyFont="1" applyFill="1" applyBorder="1" applyAlignment="1">
      <alignment horizontal="center" vertical="center" wrapText="1"/>
    </xf>
    <xf numFmtId="0" fontId="13" fillId="2" borderId="3" xfId="56" applyFont="1" applyFill="1" applyBorder="1" applyAlignment="1">
      <alignment horizontal="center" vertical="center" wrapText="1"/>
    </xf>
    <xf numFmtId="3" fontId="13" fillId="2" borderId="3" xfId="56" applyNumberFormat="1" applyFont="1" applyFill="1" applyBorder="1" applyAlignment="1">
      <alignment horizontal="center" vertical="center" wrapText="1"/>
    </xf>
    <xf numFmtId="3" fontId="13" fillId="2" borderId="1" xfId="56" applyNumberFormat="1" applyFont="1" applyFill="1" applyBorder="1" applyAlignment="1">
      <alignment horizontal="center" vertical="center" wrapText="1"/>
    </xf>
    <xf numFmtId="0" fontId="34" fillId="2" borderId="1" xfId="0" applyFont="1" applyFill="1" applyBorder="1"/>
    <xf numFmtId="49" fontId="15" fillId="2" borderId="3" xfId="56" quotePrefix="1" applyNumberFormat="1" applyFont="1" applyFill="1" applyBorder="1" applyAlignment="1">
      <alignment horizontal="center" vertical="center" wrapText="1"/>
    </xf>
    <xf numFmtId="3" fontId="15" fillId="2" borderId="3" xfId="56" applyNumberFormat="1" applyFont="1" applyFill="1" applyBorder="1" applyAlignment="1">
      <alignment horizontal="center" vertical="center" wrapText="1"/>
    </xf>
    <xf numFmtId="3" fontId="15" fillId="2" borderId="3" xfId="56" quotePrefix="1" applyNumberFormat="1" applyFont="1" applyFill="1" applyBorder="1" applyAlignment="1">
      <alignment horizontal="center" vertical="center" wrapText="1"/>
    </xf>
    <xf numFmtId="3" fontId="15" fillId="2" borderId="3" xfId="56" quotePrefix="1" applyNumberFormat="1" applyFont="1" applyFill="1" applyBorder="1" applyAlignment="1">
      <alignment horizontal="right" vertical="center" wrapText="1"/>
    </xf>
    <xf numFmtId="3" fontId="13" fillId="2" borderId="0" xfId="0" applyNumberFormat="1" applyFont="1" applyFill="1" applyAlignment="1">
      <alignment horizontal="center" vertical="center"/>
    </xf>
    <xf numFmtId="181" fontId="34" fillId="2" borderId="1" xfId="1" applyNumberFormat="1" applyFont="1" applyFill="1" applyBorder="1"/>
    <xf numFmtId="166" fontId="34" fillId="2" borderId="1" xfId="1" applyNumberFormat="1" applyFont="1" applyFill="1" applyBorder="1"/>
    <xf numFmtId="166" fontId="15" fillId="2" borderId="4" xfId="1" applyNumberFormat="1" applyFont="1" applyFill="1" applyBorder="1" applyAlignment="1">
      <alignment horizontal="center" vertical="center"/>
    </xf>
    <xf numFmtId="166" fontId="15" fillId="2" borderId="4" xfId="1" applyNumberFormat="1" applyFont="1" applyFill="1" applyBorder="1" applyAlignment="1">
      <alignment vertical="center" wrapText="1"/>
    </xf>
    <xf numFmtId="166" fontId="15" fillId="2" borderId="4" xfId="1" applyNumberFormat="1" applyFont="1" applyFill="1" applyBorder="1" applyAlignment="1">
      <alignment vertical="center"/>
    </xf>
    <xf numFmtId="166" fontId="15" fillId="2" borderId="4" xfId="1" applyNumberFormat="1" applyFont="1" applyFill="1" applyBorder="1" applyAlignment="1">
      <alignment horizontal="right" vertical="center"/>
    </xf>
    <xf numFmtId="166" fontId="13" fillId="2" borderId="4" xfId="1" applyNumberFormat="1" applyFont="1" applyFill="1" applyBorder="1" applyAlignment="1">
      <alignment horizontal="center" vertical="center" wrapText="1"/>
    </xf>
    <xf numFmtId="166" fontId="15" fillId="2" borderId="0" xfId="1" applyNumberFormat="1" applyFont="1" applyFill="1" applyAlignment="1">
      <alignment vertical="center"/>
    </xf>
    <xf numFmtId="0" fontId="15" fillId="2" borderId="2" xfId="0" applyFont="1" applyFill="1" applyBorder="1" applyAlignment="1">
      <alignment horizontal="center" vertical="center"/>
    </xf>
    <xf numFmtId="0" fontId="13" fillId="2" borderId="2" xfId="0" applyFont="1" applyFill="1" applyBorder="1" applyAlignment="1">
      <alignment horizontal="center"/>
    </xf>
    <xf numFmtId="3" fontId="15" fillId="2" borderId="2" xfId="0" applyNumberFormat="1" applyFont="1" applyFill="1" applyBorder="1" applyAlignment="1">
      <alignment vertical="center"/>
    </xf>
    <xf numFmtId="3" fontId="15" fillId="2" borderId="2" xfId="0" applyNumberFormat="1" applyFont="1" applyFill="1" applyBorder="1" applyAlignment="1">
      <alignment horizontal="center" vertical="center"/>
    </xf>
    <xf numFmtId="49" fontId="17" fillId="2" borderId="2" xfId="56" applyNumberFormat="1" applyFont="1" applyFill="1" applyBorder="1" applyAlignment="1">
      <alignment horizontal="center" vertical="center"/>
    </xf>
    <xf numFmtId="0" fontId="17" fillId="2" borderId="2" xfId="0" applyFont="1" applyFill="1" applyBorder="1" applyAlignment="1">
      <alignment horizontal="justify" vertical="center" wrapText="1"/>
    </xf>
    <xf numFmtId="3" fontId="17" fillId="2" borderId="2" xfId="0" applyNumberFormat="1" applyFont="1" applyFill="1" applyBorder="1" applyAlignment="1">
      <alignment vertical="center"/>
    </xf>
    <xf numFmtId="3" fontId="17" fillId="2" borderId="2" xfId="0" applyNumberFormat="1" applyFont="1" applyFill="1" applyBorder="1" applyAlignment="1">
      <alignment horizontal="center" vertical="center"/>
    </xf>
    <xf numFmtId="49" fontId="18" fillId="2" borderId="2" xfId="56" applyNumberFormat="1" applyFont="1" applyFill="1" applyBorder="1" applyAlignment="1">
      <alignment horizontal="center" vertical="center"/>
    </xf>
    <xf numFmtId="49" fontId="18" fillId="2" borderId="2" xfId="56" quotePrefix="1" applyNumberFormat="1" applyFont="1" applyFill="1" applyBorder="1" applyAlignment="1">
      <alignment horizontal="center" vertical="center"/>
    </xf>
    <xf numFmtId="3" fontId="13" fillId="2" borderId="2" xfId="0" applyNumberFormat="1" applyFont="1" applyFill="1" applyBorder="1" applyAlignment="1">
      <alignment vertical="center"/>
    </xf>
    <xf numFmtId="0" fontId="18" fillId="2" borderId="2" xfId="41" applyFont="1" applyFill="1" applyBorder="1" applyAlignment="1">
      <alignment horizontal="justify" vertical="center" wrapText="1"/>
    </xf>
    <xf numFmtId="3" fontId="13" fillId="2" borderId="2" xfId="56" quotePrefix="1" applyNumberFormat="1" applyFont="1" applyFill="1" applyBorder="1" applyAlignment="1">
      <alignment horizontal="center" vertical="center"/>
    </xf>
    <xf numFmtId="169" fontId="13" fillId="2" borderId="2" xfId="1" applyNumberFormat="1" applyFont="1" applyFill="1" applyBorder="1" applyAlignment="1">
      <alignment vertical="center" wrapText="1"/>
    </xf>
    <xf numFmtId="1" fontId="13" fillId="2" borderId="2" xfId="56" quotePrefix="1" applyNumberFormat="1" applyFont="1" applyFill="1" applyBorder="1" applyAlignment="1">
      <alignment horizontal="center" vertical="center" wrapText="1"/>
    </xf>
    <xf numFmtId="3" fontId="13" fillId="2" borderId="2" xfId="26" applyNumberFormat="1" applyFont="1" applyFill="1" applyBorder="1" applyAlignment="1">
      <alignment horizontal="center" vertical="center" wrapText="1"/>
    </xf>
    <xf numFmtId="0" fontId="13" fillId="2" borderId="2" xfId="8" applyNumberFormat="1" applyFont="1" applyFill="1" applyBorder="1" applyAlignment="1">
      <alignment horizontal="center" vertical="center" wrapText="1"/>
    </xf>
    <xf numFmtId="169" fontId="13" fillId="2" borderId="2" xfId="10" applyNumberFormat="1" applyFont="1" applyFill="1" applyBorder="1" applyAlignment="1">
      <alignment horizontal="center" vertical="center" wrapText="1"/>
    </xf>
    <xf numFmtId="3" fontId="13" fillId="2" borderId="2" xfId="56" applyNumberFormat="1" applyFont="1" applyFill="1" applyBorder="1" applyAlignment="1">
      <alignment horizontal="right" vertical="center"/>
    </xf>
    <xf numFmtId="3" fontId="13" fillId="2" borderId="2" xfId="14" applyNumberFormat="1" applyFont="1" applyFill="1" applyBorder="1" applyAlignment="1">
      <alignment horizontal="center" vertical="center" wrapText="1"/>
    </xf>
    <xf numFmtId="0" fontId="13" fillId="2" borderId="2" xfId="24" applyNumberFormat="1" applyFont="1" applyFill="1" applyBorder="1" applyAlignment="1">
      <alignment horizontal="center" vertical="center" wrapText="1"/>
    </xf>
    <xf numFmtId="169" fontId="13" fillId="2" borderId="2" xfId="10" applyNumberFormat="1" applyFont="1" applyFill="1" applyBorder="1" applyAlignment="1">
      <alignment vertical="center" wrapText="1"/>
    </xf>
    <xf numFmtId="169" fontId="13" fillId="2" borderId="2" xfId="24" applyNumberFormat="1" applyFont="1" applyFill="1" applyBorder="1" applyAlignment="1">
      <alignment vertical="center" wrapText="1"/>
    </xf>
    <xf numFmtId="0" fontId="13" fillId="2" borderId="2" xfId="6" applyNumberFormat="1" applyFont="1" applyFill="1" applyBorder="1" applyAlignment="1">
      <alignment horizontal="center" vertical="center" wrapText="1"/>
    </xf>
    <xf numFmtId="0" fontId="18" fillId="2" borderId="2" xfId="0" quotePrefix="1" applyFont="1" applyFill="1" applyBorder="1" applyAlignment="1">
      <alignment vertical="center" wrapText="1"/>
    </xf>
    <xf numFmtId="3" fontId="18" fillId="2" borderId="2" xfId="14" applyNumberFormat="1" applyFont="1" applyFill="1" applyBorder="1" applyAlignment="1">
      <alignment horizontal="center" vertical="center" wrapText="1"/>
    </xf>
    <xf numFmtId="0" fontId="18" fillId="2" borderId="2" xfId="8" applyNumberFormat="1" applyFont="1" applyFill="1" applyBorder="1" applyAlignment="1">
      <alignment horizontal="center" vertical="center" wrapText="1"/>
    </xf>
    <xf numFmtId="3" fontId="18" fillId="2" borderId="2" xfId="0" applyNumberFormat="1" applyFont="1" applyFill="1" applyBorder="1" applyAlignment="1">
      <alignment horizontal="right" vertical="center"/>
    </xf>
    <xf numFmtId="0" fontId="18" fillId="2" borderId="0" xfId="0" applyFont="1" applyFill="1" applyAlignment="1">
      <alignment vertical="center"/>
    </xf>
    <xf numFmtId="1" fontId="17" fillId="2" borderId="2" xfId="56" applyNumberFormat="1" applyFont="1" applyFill="1" applyBorder="1" applyAlignment="1">
      <alignment horizontal="center" vertical="center" wrapText="1"/>
    </xf>
    <xf numFmtId="167" fontId="17" fillId="2" borderId="2" xfId="0" applyNumberFormat="1" applyFont="1" applyFill="1" applyBorder="1" applyAlignment="1">
      <alignment horizontal="center" vertical="center" wrapText="1"/>
    </xf>
    <xf numFmtId="1" fontId="17" fillId="2" borderId="2" xfId="57" applyNumberFormat="1"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0" xfId="0" applyFont="1" applyFill="1"/>
    <xf numFmtId="1" fontId="18" fillId="2" borderId="2" xfId="56" applyNumberFormat="1" applyFont="1" applyFill="1" applyBorder="1" applyAlignment="1">
      <alignment horizontal="center" vertical="center" wrapText="1"/>
    </xf>
    <xf numFmtId="167" fontId="18" fillId="2" borderId="2" xfId="0" applyNumberFormat="1" applyFont="1" applyFill="1" applyBorder="1" applyAlignment="1">
      <alignment horizontal="center" vertical="center" wrapText="1"/>
    </xf>
    <xf numFmtId="1" fontId="18" fillId="2" borderId="2" xfId="57" applyNumberFormat="1" applyFont="1" applyFill="1" applyBorder="1" applyAlignment="1">
      <alignment horizontal="center" vertical="center" wrapText="1"/>
    </xf>
    <xf numFmtId="49" fontId="15" fillId="2" borderId="2" xfId="56" quotePrefix="1" applyNumberFormat="1" applyFont="1" applyFill="1" applyBorder="1" applyAlignment="1">
      <alignment horizontal="center" vertical="center"/>
    </xf>
    <xf numFmtId="1" fontId="15" fillId="2" borderId="2" xfId="56" applyNumberFormat="1" applyFont="1" applyFill="1" applyBorder="1" applyAlignment="1">
      <alignment horizontal="center" vertical="center" wrapText="1"/>
    </xf>
    <xf numFmtId="0" fontId="13" fillId="2" borderId="2" xfId="54" applyFont="1" applyFill="1" applyBorder="1" applyAlignment="1">
      <alignment horizontal="center" vertical="center" wrapText="1"/>
    </xf>
    <xf numFmtId="3" fontId="15" fillId="2" borderId="2" xfId="56" applyNumberFormat="1" applyFont="1" applyFill="1" applyBorder="1" applyAlignment="1">
      <alignment horizontal="right" vertical="center"/>
    </xf>
    <xf numFmtId="49" fontId="13" fillId="2" borderId="2" xfId="56" quotePrefix="1" applyNumberFormat="1" applyFont="1" applyFill="1" applyBorder="1" applyAlignment="1">
      <alignment horizontal="center" vertical="center"/>
    </xf>
    <xf numFmtId="1" fontId="13" fillId="2" borderId="2" xfId="56" applyNumberFormat="1" applyFont="1" applyFill="1" applyBorder="1" applyAlignment="1">
      <alignment horizontal="justify" vertical="center" wrapText="1"/>
    </xf>
    <xf numFmtId="0" fontId="13" fillId="2" borderId="2" xfId="49" applyFont="1" applyFill="1" applyBorder="1" applyAlignment="1">
      <alignment horizontal="center" vertical="center" wrapText="1"/>
    </xf>
    <xf numFmtId="1" fontId="13" fillId="2" borderId="2" xfId="56" applyNumberFormat="1" applyFont="1" applyFill="1" applyBorder="1" applyAlignment="1">
      <alignment horizontal="center" vertical="center" wrapText="1"/>
    </xf>
    <xf numFmtId="0" fontId="13" fillId="2" borderId="2" xfId="50" applyFont="1" applyFill="1" applyBorder="1" applyAlignment="1">
      <alignment horizontal="center" vertical="center" wrapText="1"/>
    </xf>
    <xf numFmtId="0" fontId="18" fillId="2" borderId="2" xfId="41" applyFont="1" applyFill="1" applyBorder="1" applyAlignment="1">
      <alignment horizontal="center" vertical="center" wrapText="1"/>
    </xf>
    <xf numFmtId="3" fontId="18" fillId="2" borderId="2" xfId="22" applyNumberFormat="1" applyFont="1" applyFill="1" applyBorder="1" applyAlignment="1">
      <alignment horizontal="right" vertical="center" wrapText="1"/>
    </xf>
    <xf numFmtId="3" fontId="18" fillId="2" borderId="2" xfId="22" applyNumberFormat="1" applyFont="1" applyFill="1" applyBorder="1" applyAlignment="1">
      <alignment horizontal="center" vertical="center" wrapText="1"/>
    </xf>
    <xf numFmtId="0" fontId="13" fillId="2" borderId="2" xfId="47" applyFont="1" applyFill="1" applyBorder="1" applyAlignment="1">
      <alignment horizontal="left" vertical="center" wrapText="1"/>
    </xf>
    <xf numFmtId="0" fontId="13" fillId="2" borderId="2" xfId="51" applyFont="1" applyFill="1" applyBorder="1" applyAlignment="1">
      <alignment horizontal="center" vertical="center" wrapText="1"/>
    </xf>
    <xf numFmtId="0" fontId="13" fillId="2" borderId="2" xfId="33" applyFont="1" applyFill="1" applyBorder="1" applyAlignment="1">
      <alignment horizontal="center" vertical="center" wrapText="1"/>
    </xf>
    <xf numFmtId="0" fontId="15" fillId="2" borderId="2" xfId="0" applyFont="1" applyFill="1" applyBorder="1" applyAlignment="1">
      <alignment vertical="center" wrapText="1"/>
    </xf>
    <xf numFmtId="0" fontId="17" fillId="2" borderId="2" xfId="0" applyFont="1" applyFill="1" applyBorder="1" applyAlignment="1">
      <alignment horizontal="center" vertical="center"/>
    </xf>
    <xf numFmtId="0" fontId="17" fillId="2" borderId="2" xfId="0" applyFont="1" applyFill="1" applyBorder="1" applyAlignment="1">
      <alignment vertical="center" wrapText="1"/>
    </xf>
    <xf numFmtId="0" fontId="17" fillId="2" borderId="2" xfId="0" applyFont="1" applyFill="1" applyBorder="1"/>
    <xf numFmtId="0" fontId="17" fillId="2" borderId="2" xfId="0" applyFont="1" applyFill="1" applyBorder="1" applyAlignment="1">
      <alignment horizontal="center"/>
    </xf>
    <xf numFmtId="3" fontId="13" fillId="2" borderId="2" xfId="8" applyNumberFormat="1" applyFont="1" applyFill="1" applyBorder="1" applyAlignment="1">
      <alignment horizontal="right" vertical="center"/>
    </xf>
    <xf numFmtId="0" fontId="18" fillId="2" borderId="2" xfId="0" quotePrefix="1" applyFont="1" applyFill="1" applyBorder="1" applyAlignment="1">
      <alignment horizontal="center" vertical="center" wrapText="1"/>
    </xf>
    <xf numFmtId="3" fontId="18" fillId="2" borderId="2" xfId="56" quotePrefix="1" applyNumberFormat="1" applyFont="1" applyFill="1" applyBorder="1" applyAlignment="1">
      <alignment horizontal="center" vertical="center" wrapText="1"/>
    </xf>
    <xf numFmtId="3" fontId="18" fillId="2" borderId="2" xfId="14" applyNumberFormat="1" applyFont="1" applyFill="1" applyBorder="1" applyAlignment="1">
      <alignment vertical="center" wrapText="1"/>
    </xf>
    <xf numFmtId="3" fontId="13" fillId="2" borderId="2" xfId="26" applyNumberFormat="1" applyFont="1" applyFill="1" applyBorder="1" applyAlignment="1">
      <alignment horizontal="left" vertical="center" wrapText="1"/>
    </xf>
    <xf numFmtId="0" fontId="15" fillId="2" borderId="2" xfId="0" applyFont="1" applyFill="1" applyBorder="1"/>
    <xf numFmtId="0" fontId="15" fillId="2" borderId="2" xfId="0" applyFont="1" applyFill="1" applyBorder="1" applyAlignment="1">
      <alignment horizontal="center"/>
    </xf>
    <xf numFmtId="3" fontId="17" fillId="2" borderId="2" xfId="22" applyNumberFormat="1" applyFont="1" applyFill="1" applyBorder="1" applyAlignment="1">
      <alignment horizontal="right" vertical="center" wrapText="1"/>
    </xf>
    <xf numFmtId="3" fontId="17" fillId="2" borderId="2" xfId="22" applyNumberFormat="1" applyFont="1" applyFill="1" applyBorder="1" applyAlignment="1">
      <alignment horizontal="center" vertical="center" wrapText="1"/>
    </xf>
    <xf numFmtId="49" fontId="13" fillId="2" borderId="2" xfId="25" applyNumberFormat="1" applyFont="1" applyFill="1" applyBorder="1" applyAlignment="1" applyProtection="1">
      <alignment horizontal="justify" vertical="center" wrapText="1"/>
      <protection locked="0"/>
    </xf>
    <xf numFmtId="49" fontId="13" fillId="2" borderId="2" xfId="25" applyNumberFormat="1" applyFont="1" applyFill="1" applyBorder="1" applyAlignment="1" applyProtection="1">
      <alignment horizontal="center" vertical="center" wrapText="1"/>
      <protection locked="0"/>
    </xf>
    <xf numFmtId="3" fontId="13" fillId="2" borderId="2" xfId="5" applyNumberFormat="1" applyFont="1" applyFill="1" applyBorder="1" applyAlignment="1">
      <alignment horizontal="right" vertical="center" wrapText="1"/>
    </xf>
    <xf numFmtId="49" fontId="13" fillId="2" borderId="2" xfId="25" quotePrefix="1" applyNumberFormat="1" applyFont="1" applyFill="1" applyBorder="1" applyAlignment="1" applyProtection="1">
      <alignment horizontal="center" vertical="center" wrapText="1"/>
      <protection locked="0"/>
    </xf>
    <xf numFmtId="49" fontId="18" fillId="2" borderId="2" xfId="25" applyNumberFormat="1" applyFont="1" applyFill="1" applyBorder="1" applyAlignment="1" applyProtection="1">
      <alignment horizontal="center" vertical="center" wrapText="1"/>
      <protection locked="0"/>
    </xf>
    <xf numFmtId="49" fontId="18" fillId="2" borderId="2" xfId="25" quotePrefix="1" applyNumberFormat="1" applyFont="1" applyFill="1" applyBorder="1" applyAlignment="1" applyProtection="1">
      <alignment horizontal="center" vertical="center" wrapText="1"/>
      <protection locked="0"/>
    </xf>
    <xf numFmtId="49" fontId="15" fillId="2" borderId="2" xfId="25" applyNumberFormat="1" applyFont="1" applyFill="1" applyBorder="1" applyAlignment="1" applyProtection="1">
      <alignment horizontal="justify" vertical="center" wrapText="1"/>
      <protection locked="0"/>
    </xf>
    <xf numFmtId="49" fontId="15" fillId="2" borderId="2" xfId="25" applyNumberFormat="1" applyFont="1" applyFill="1" applyBorder="1" applyAlignment="1" applyProtection="1">
      <alignment horizontal="center" vertical="center" wrapText="1"/>
      <protection locked="0"/>
    </xf>
    <xf numFmtId="3" fontId="15" fillId="2" borderId="2" xfId="57" quotePrefix="1" applyNumberFormat="1" applyFont="1" applyFill="1" applyBorder="1" applyAlignment="1">
      <alignment horizontal="center" vertical="center" wrapText="1"/>
    </xf>
    <xf numFmtId="0" fontId="15" fillId="2" borderId="2" xfId="25" applyFont="1" applyFill="1" applyBorder="1" applyAlignment="1">
      <alignment horizontal="center" vertical="center" wrapText="1"/>
    </xf>
    <xf numFmtId="3" fontId="15" fillId="2" borderId="2" xfId="5" applyNumberFormat="1" applyFont="1" applyFill="1" applyBorder="1" applyAlignment="1">
      <alignment horizontal="right" vertical="center" wrapText="1"/>
    </xf>
    <xf numFmtId="3" fontId="15" fillId="2" borderId="2" xfId="5" applyNumberFormat="1" applyFont="1" applyFill="1" applyBorder="1" applyAlignment="1">
      <alignment horizontal="center" vertical="center" wrapText="1"/>
    </xf>
    <xf numFmtId="3" fontId="17" fillId="2" borderId="2" xfId="0" applyNumberFormat="1" applyFont="1" applyFill="1" applyBorder="1" applyAlignment="1">
      <alignment horizontal="left" vertical="center" wrapText="1"/>
    </xf>
    <xf numFmtId="3" fontId="17" fillId="2" borderId="2" xfId="0" applyNumberFormat="1" applyFont="1" applyFill="1" applyBorder="1" applyAlignment="1">
      <alignment vertical="center" wrapText="1"/>
    </xf>
    <xf numFmtId="3" fontId="17" fillId="2" borderId="2" xfId="0" applyNumberFormat="1" applyFont="1" applyFill="1" applyBorder="1" applyAlignment="1">
      <alignment horizontal="center" vertical="center" wrapText="1"/>
    </xf>
    <xf numFmtId="3" fontId="18" fillId="2" borderId="2" xfId="0" applyNumberFormat="1" applyFont="1" applyFill="1" applyBorder="1" applyAlignment="1">
      <alignment horizontal="left" vertical="center" wrapText="1"/>
    </xf>
    <xf numFmtId="3" fontId="18" fillId="2" borderId="2" xfId="0" applyNumberFormat="1" applyFont="1" applyFill="1" applyBorder="1" applyAlignment="1">
      <alignment horizontal="center" vertical="center" wrapText="1"/>
    </xf>
    <xf numFmtId="3" fontId="18" fillId="2" borderId="2" xfId="0" applyNumberFormat="1" applyFont="1" applyFill="1" applyBorder="1" applyAlignment="1">
      <alignment vertical="center" wrapText="1"/>
    </xf>
    <xf numFmtId="1" fontId="18" fillId="2" borderId="2" xfId="0" applyNumberFormat="1" applyFont="1" applyFill="1" applyBorder="1" applyAlignment="1">
      <alignment horizontal="center" vertical="center" wrapText="1"/>
    </xf>
    <xf numFmtId="1" fontId="15" fillId="2" borderId="2" xfId="56" applyNumberFormat="1" applyFont="1" applyFill="1" applyBorder="1" applyAlignment="1">
      <alignment horizontal="center" vertical="center"/>
    </xf>
    <xf numFmtId="0" fontId="15" fillId="2" borderId="2" xfId="0" applyFont="1" applyFill="1" applyBorder="1" applyAlignment="1">
      <alignment vertical="center"/>
    </xf>
    <xf numFmtId="164" fontId="13" fillId="2" borderId="2" xfId="2" applyFont="1" applyFill="1" applyBorder="1" applyAlignment="1">
      <alignment horizontal="right" vertical="center" wrapText="1"/>
    </xf>
    <xf numFmtId="1" fontId="18" fillId="2" borderId="2" xfId="56" applyNumberFormat="1" applyFont="1" applyFill="1" applyBorder="1" applyAlignment="1">
      <alignment vertical="center" wrapText="1"/>
    </xf>
    <xf numFmtId="164" fontId="13" fillId="2" borderId="2" xfId="2" applyFont="1" applyFill="1" applyBorder="1" applyAlignment="1">
      <alignment horizontal="center" vertical="center" wrapText="1"/>
    </xf>
    <xf numFmtId="0" fontId="18" fillId="2" borderId="2" xfId="0" quotePrefix="1" applyFont="1" applyFill="1" applyBorder="1" applyAlignment="1">
      <alignment horizontal="center" vertical="center"/>
    </xf>
    <xf numFmtId="164" fontId="18" fillId="2" borderId="2" xfId="2" applyFont="1" applyFill="1" applyBorder="1" applyAlignment="1">
      <alignment horizontal="right" vertical="center" wrapText="1"/>
    </xf>
    <xf numFmtId="164" fontId="18" fillId="2" borderId="2" xfId="2" applyFont="1" applyFill="1" applyBorder="1" applyAlignment="1">
      <alignment horizontal="center" vertical="center" wrapText="1"/>
    </xf>
    <xf numFmtId="164" fontId="15" fillId="2" borderId="2" xfId="2" applyFont="1" applyFill="1" applyBorder="1" applyAlignment="1">
      <alignment horizontal="center" vertical="center" wrapText="1"/>
    </xf>
    <xf numFmtId="164" fontId="17" fillId="2" borderId="2" xfId="2" applyFont="1" applyFill="1" applyBorder="1" applyAlignment="1">
      <alignment horizontal="right" vertical="center" wrapText="1"/>
    </xf>
    <xf numFmtId="164" fontId="17" fillId="2" borderId="2" xfId="2" applyFont="1" applyFill="1" applyBorder="1" applyAlignment="1">
      <alignment horizontal="center" vertical="center" wrapText="1"/>
    </xf>
    <xf numFmtId="0" fontId="15" fillId="2" borderId="2" xfId="0" quotePrefix="1" applyFont="1" applyFill="1" applyBorder="1" applyAlignment="1">
      <alignment horizontal="center" vertical="center"/>
    </xf>
    <xf numFmtId="0" fontId="17" fillId="2" borderId="2" xfId="0" quotePrefix="1" applyFont="1" applyFill="1" applyBorder="1" applyAlignment="1">
      <alignment horizontal="center" vertical="center"/>
    </xf>
    <xf numFmtId="0" fontId="13" fillId="2" borderId="2" xfId="42" applyFont="1" applyFill="1" applyBorder="1" applyAlignment="1">
      <alignment horizontal="center" vertical="center" wrapText="1"/>
    </xf>
    <xf numFmtId="169" fontId="13" fillId="2" borderId="2" xfId="18" applyNumberFormat="1" applyFont="1" applyFill="1" applyBorder="1" applyAlignment="1">
      <alignment horizontal="right" vertical="center" wrapText="1"/>
    </xf>
    <xf numFmtId="169" fontId="13" fillId="2" borderId="2" xfId="19" applyNumberFormat="1" applyFont="1" applyFill="1" applyBorder="1" applyAlignment="1">
      <alignment horizontal="right" vertical="center" wrapText="1"/>
    </xf>
    <xf numFmtId="0" fontId="13" fillId="2" borderId="9" xfId="0" applyFont="1" applyFill="1" applyBorder="1" applyAlignment="1">
      <alignment horizontal="center" vertical="center" wrapText="1"/>
    </xf>
    <xf numFmtId="3" fontId="13" fillId="2" borderId="1" xfId="56" applyNumberFormat="1" applyFont="1" applyFill="1" applyBorder="1" applyAlignment="1">
      <alignment horizontal="center" vertical="center"/>
    </xf>
    <xf numFmtId="0" fontId="18" fillId="2" borderId="2" xfId="0" applyFont="1" applyFill="1" applyBorder="1" applyAlignment="1">
      <alignment vertical="center" wrapText="1"/>
    </xf>
    <xf numFmtId="179" fontId="13" fillId="2" borderId="2" xfId="14" applyNumberFormat="1" applyFont="1" applyFill="1" applyBorder="1" applyAlignment="1">
      <alignment horizontal="right" vertical="center" wrapText="1"/>
    </xf>
    <xf numFmtId="0" fontId="18" fillId="2" borderId="2" xfId="0" applyFont="1" applyFill="1" applyBorder="1" applyAlignment="1">
      <alignment vertical="center"/>
    </xf>
    <xf numFmtId="49" fontId="17" fillId="2" borderId="2" xfId="56" quotePrefix="1" applyNumberFormat="1" applyFont="1" applyFill="1" applyBorder="1" applyAlignment="1">
      <alignment horizontal="center" vertical="center"/>
    </xf>
    <xf numFmtId="3" fontId="21" fillId="2" borderId="2" xfId="14" applyNumberFormat="1" applyFont="1" applyFill="1" applyBorder="1" applyAlignment="1">
      <alignment vertical="center" wrapText="1"/>
    </xf>
    <xf numFmtId="10" fontId="13" fillId="2" borderId="2" xfId="0" applyNumberFormat="1" applyFont="1" applyFill="1" applyBorder="1" applyAlignment="1">
      <alignment horizontal="center" vertical="center" wrapText="1"/>
    </xf>
    <xf numFmtId="3" fontId="3" fillId="2" borderId="2" xfId="14" applyNumberFormat="1" applyFont="1" applyFill="1" applyBorder="1" applyAlignment="1">
      <alignment horizontal="center" vertical="center" wrapText="1"/>
    </xf>
    <xf numFmtId="37" fontId="15" fillId="2" borderId="2" xfId="0" applyNumberFormat="1" applyFont="1" applyFill="1" applyBorder="1" applyAlignment="1">
      <alignment horizontal="right" vertical="center"/>
    </xf>
    <xf numFmtId="37" fontId="13" fillId="2" borderId="2" xfId="0" applyNumberFormat="1" applyFont="1" applyFill="1" applyBorder="1" applyAlignment="1">
      <alignment horizontal="center" vertical="center" wrapText="1"/>
    </xf>
    <xf numFmtId="0" fontId="15" fillId="2" borderId="0" xfId="0" applyFont="1" applyFill="1" applyAlignment="1">
      <alignment vertical="center"/>
    </xf>
    <xf numFmtId="37" fontId="15" fillId="2" borderId="2" xfId="0" applyNumberFormat="1" applyFont="1" applyFill="1" applyBorder="1" applyAlignment="1">
      <alignment horizontal="center" vertical="center"/>
    </xf>
    <xf numFmtId="3" fontId="17" fillId="2" borderId="2" xfId="26" applyNumberFormat="1" applyFont="1" applyFill="1" applyBorder="1" applyAlignment="1">
      <alignment horizontal="left" vertical="center" wrapText="1"/>
    </xf>
    <xf numFmtId="3" fontId="17" fillId="2" borderId="2" xfId="56" applyNumberFormat="1" applyFont="1" applyFill="1" applyBorder="1" applyAlignment="1">
      <alignment horizontal="center" vertical="center" wrapText="1"/>
    </xf>
    <xf numFmtId="169" fontId="17" fillId="2" borderId="2" xfId="10" applyNumberFormat="1" applyFont="1" applyFill="1" applyBorder="1" applyAlignment="1">
      <alignment horizontal="right" vertical="center" wrapText="1"/>
    </xf>
    <xf numFmtId="169" fontId="17" fillId="2" borderId="2" xfId="10" applyNumberFormat="1" applyFont="1" applyFill="1" applyBorder="1" applyAlignment="1">
      <alignment horizontal="center" vertical="center" wrapText="1"/>
    </xf>
    <xf numFmtId="37" fontId="15" fillId="2" borderId="2" xfId="0" applyNumberFormat="1" applyFont="1" applyFill="1" applyBorder="1" applyAlignment="1">
      <alignment vertical="center"/>
    </xf>
    <xf numFmtId="169" fontId="18" fillId="2" borderId="2" xfId="10" applyNumberFormat="1" applyFont="1" applyFill="1" applyBorder="1" applyAlignment="1">
      <alignment horizontal="right" vertical="center" wrapText="1"/>
    </xf>
    <xf numFmtId="169" fontId="18" fillId="2" borderId="2" xfId="10" applyNumberFormat="1" applyFont="1" applyFill="1" applyBorder="1" applyAlignment="1">
      <alignment horizontal="center" vertical="center" wrapText="1"/>
    </xf>
    <xf numFmtId="0" fontId="13" fillId="2" borderId="2" xfId="30" applyFont="1" applyFill="1" applyBorder="1" applyAlignment="1">
      <alignment vertical="center" wrapText="1"/>
    </xf>
    <xf numFmtId="0" fontId="13" fillId="2" borderId="2" xfId="30" applyFont="1" applyFill="1" applyBorder="1" applyAlignment="1">
      <alignment horizontal="center" vertical="center" wrapText="1"/>
    </xf>
    <xf numFmtId="0" fontId="13" fillId="2" borderId="2" xfId="29" applyFont="1" applyFill="1" applyBorder="1" applyAlignment="1">
      <alignment horizontal="center" vertical="center" wrapText="1"/>
    </xf>
    <xf numFmtId="41" fontId="13" fillId="2" borderId="2" xfId="0" applyNumberFormat="1" applyFont="1" applyFill="1" applyBorder="1" applyAlignment="1">
      <alignment vertical="center" wrapText="1"/>
    </xf>
    <xf numFmtId="164" fontId="13" fillId="2" borderId="2" xfId="0" applyNumberFormat="1" applyFont="1" applyFill="1" applyBorder="1" applyAlignment="1">
      <alignment vertical="center"/>
    </xf>
    <xf numFmtId="164" fontId="13" fillId="2" borderId="2" xfId="0" applyNumberFormat="1" applyFont="1" applyFill="1" applyBorder="1" applyAlignment="1">
      <alignment horizontal="center" vertical="center" wrapText="1"/>
    </xf>
    <xf numFmtId="0" fontId="24" fillId="2" borderId="2" xfId="0" applyFont="1" applyFill="1" applyBorder="1" applyAlignment="1">
      <alignment horizontal="center" vertical="center"/>
    </xf>
    <xf numFmtId="0" fontId="24" fillId="2" borderId="2" xfId="0" quotePrefix="1" applyFont="1" applyFill="1" applyBorder="1" applyAlignment="1">
      <alignment vertical="center" wrapText="1"/>
    </xf>
    <xf numFmtId="0" fontId="24" fillId="2" borderId="2" xfId="0" applyFont="1" applyFill="1" applyBorder="1" applyAlignment="1">
      <alignment vertical="center"/>
    </xf>
    <xf numFmtId="3" fontId="24" fillId="2" borderId="2" xfId="0" applyNumberFormat="1" applyFont="1" applyFill="1" applyBorder="1" applyAlignment="1">
      <alignment vertical="center"/>
    </xf>
    <xf numFmtId="3" fontId="24" fillId="2" borderId="2" xfId="0" applyNumberFormat="1" applyFont="1" applyFill="1" applyBorder="1" applyAlignment="1">
      <alignment horizontal="center" vertical="center"/>
    </xf>
    <xf numFmtId="0" fontId="24" fillId="2" borderId="0" xfId="0" applyFont="1" applyFill="1" applyAlignment="1">
      <alignment vertical="center"/>
    </xf>
    <xf numFmtId="166" fontId="15" fillId="2" borderId="2" xfId="0" applyNumberFormat="1" applyFont="1" applyFill="1" applyBorder="1" applyAlignment="1">
      <alignment vertical="center"/>
    </xf>
    <xf numFmtId="166" fontId="15" fillId="2" borderId="2" xfId="0" applyNumberFormat="1" applyFont="1" applyFill="1" applyBorder="1" applyAlignment="1">
      <alignment horizontal="center" vertical="center"/>
    </xf>
    <xf numFmtId="0" fontId="15" fillId="2" borderId="2" xfId="27" applyFont="1" applyFill="1" applyBorder="1" applyAlignment="1">
      <alignment vertical="center" wrapText="1"/>
    </xf>
    <xf numFmtId="3" fontId="13" fillId="2" borderId="2" xfId="8" applyNumberFormat="1" applyFont="1" applyFill="1" applyBorder="1" applyAlignment="1">
      <alignment vertical="center" wrapText="1"/>
    </xf>
    <xf numFmtId="164" fontId="13" fillId="2" borderId="2" xfId="2" applyFont="1" applyFill="1" applyBorder="1" applyAlignment="1">
      <alignment vertical="center" wrapText="1"/>
    </xf>
    <xf numFmtId="164" fontId="15" fillId="2" borderId="2" xfId="2" applyFont="1" applyFill="1" applyBorder="1" applyAlignment="1">
      <alignment vertical="center" wrapText="1"/>
    </xf>
    <xf numFmtId="164" fontId="18" fillId="2" borderId="2" xfId="2" applyFont="1" applyFill="1" applyBorder="1" applyAlignment="1">
      <alignment vertical="center" wrapText="1"/>
    </xf>
    <xf numFmtId="37" fontId="17" fillId="2" borderId="2" xfId="0" applyNumberFormat="1" applyFont="1" applyFill="1" applyBorder="1" applyAlignment="1">
      <alignment vertical="center"/>
    </xf>
    <xf numFmtId="37" fontId="17" fillId="2" borderId="2" xfId="0" applyNumberFormat="1" applyFont="1" applyFill="1" applyBorder="1" applyAlignment="1">
      <alignment horizontal="center" vertical="center"/>
    </xf>
    <xf numFmtId="37" fontId="18" fillId="2" borderId="2" xfId="0" applyNumberFormat="1" applyFont="1" applyFill="1" applyBorder="1" applyAlignment="1">
      <alignment horizontal="right" vertical="center"/>
    </xf>
    <xf numFmtId="37" fontId="18" fillId="2" borderId="2" xfId="0" applyNumberFormat="1" applyFont="1" applyFill="1" applyBorder="1" applyAlignment="1">
      <alignment horizontal="center" vertical="center"/>
    </xf>
    <xf numFmtId="3" fontId="13" fillId="2" borderId="2" xfId="56" quotePrefix="1" applyNumberFormat="1" applyFont="1" applyFill="1" applyBorder="1" applyAlignment="1">
      <alignment horizontal="right" vertical="center" wrapText="1"/>
    </xf>
    <xf numFmtId="1" fontId="13" fillId="2" borderId="2" xfId="0" applyNumberFormat="1" applyFont="1" applyFill="1" applyBorder="1" applyAlignment="1">
      <alignment vertical="center"/>
    </xf>
    <xf numFmtId="1" fontId="13" fillId="2" borderId="2" xfId="0" applyNumberFormat="1" applyFont="1" applyFill="1" applyBorder="1" applyAlignment="1">
      <alignment horizontal="center" vertical="center"/>
    </xf>
    <xf numFmtId="1" fontId="13" fillId="2" borderId="2" xfId="56" quotePrefix="1" applyNumberFormat="1" applyFont="1" applyFill="1" applyBorder="1" applyAlignment="1">
      <alignment horizontal="right" vertical="center" wrapText="1"/>
    </xf>
    <xf numFmtId="0" fontId="13" fillId="2" borderId="2" xfId="56" applyFont="1" applyFill="1" applyBorder="1" applyAlignment="1">
      <alignment horizontal="center" vertical="center" wrapText="1"/>
    </xf>
    <xf numFmtId="0" fontId="15" fillId="2" borderId="2" xfId="0" quotePrefix="1" applyFont="1" applyFill="1" applyBorder="1" applyAlignment="1">
      <alignment vertical="center" wrapText="1"/>
    </xf>
    <xf numFmtId="3" fontId="13" fillId="2" borderId="2" xfId="21" applyNumberFormat="1" applyFont="1" applyFill="1" applyBorder="1" applyAlignment="1">
      <alignment horizontal="right" vertical="center"/>
    </xf>
    <xf numFmtId="37" fontId="13" fillId="2" borderId="2" xfId="0" applyNumberFormat="1" applyFont="1" applyFill="1" applyBorder="1" applyAlignment="1">
      <alignment horizontal="right" vertical="center"/>
    </xf>
    <xf numFmtId="37" fontId="13" fillId="2" borderId="2" xfId="0" applyNumberFormat="1" applyFont="1" applyFill="1" applyBorder="1" applyAlignment="1">
      <alignment horizontal="center" vertical="center"/>
    </xf>
    <xf numFmtId="37" fontId="18" fillId="2" borderId="2" xfId="0" applyNumberFormat="1" applyFont="1" applyFill="1" applyBorder="1" applyAlignment="1">
      <alignment horizontal="center" vertical="center" wrapText="1"/>
    </xf>
    <xf numFmtId="3" fontId="15" fillId="2" borderId="2" xfId="56" applyNumberFormat="1" applyFont="1" applyFill="1" applyBorder="1" applyAlignment="1">
      <alignment horizontal="left" vertical="center" wrapText="1"/>
    </xf>
    <xf numFmtId="3" fontId="13" fillId="2" borderId="2" xfId="56" applyNumberFormat="1" applyFont="1" applyFill="1" applyBorder="1" applyAlignment="1">
      <alignment horizontal="left" vertical="center" wrapText="1"/>
    </xf>
    <xf numFmtId="3" fontId="13" fillId="2" borderId="2" xfId="10" applyNumberFormat="1" applyFont="1" applyFill="1" applyBorder="1" applyAlignment="1">
      <alignment horizontal="center" vertical="center" wrapText="1"/>
    </xf>
    <xf numFmtId="1" fontId="15" fillId="2" borderId="2" xfId="56" applyNumberFormat="1" applyFont="1" applyFill="1" applyBorder="1" applyAlignment="1">
      <alignment horizontal="left" vertical="center" wrapText="1"/>
    </xf>
    <xf numFmtId="0" fontId="15" fillId="2" borderId="2" xfId="0" applyFont="1" applyFill="1" applyBorder="1" applyAlignment="1">
      <alignment horizontal="left" vertical="center"/>
    </xf>
    <xf numFmtId="3" fontId="15" fillId="2" borderId="2" xfId="0" applyNumberFormat="1" applyFont="1" applyFill="1" applyBorder="1" applyAlignment="1">
      <alignment horizontal="right" vertical="center"/>
    </xf>
    <xf numFmtId="0" fontId="15" fillId="2" borderId="0" xfId="0" applyFont="1" applyFill="1" applyAlignment="1">
      <alignment horizontal="left" vertical="center"/>
    </xf>
    <xf numFmtId="1" fontId="13" fillId="2" borderId="2" xfId="56" applyNumberFormat="1" applyFont="1" applyFill="1" applyBorder="1" applyAlignment="1">
      <alignment horizontal="left" vertical="center" wrapText="1"/>
    </xf>
    <xf numFmtId="3" fontId="62" fillId="2" borderId="2" xfId="0" applyNumberFormat="1" applyFont="1" applyFill="1" applyBorder="1" applyAlignment="1">
      <alignment horizontal="center" vertical="center"/>
    </xf>
    <xf numFmtId="1" fontId="15" fillId="2" borderId="2" xfId="0" applyNumberFormat="1" applyFont="1" applyFill="1" applyBorder="1" applyAlignment="1">
      <alignment horizontal="center" vertical="center"/>
    </xf>
    <xf numFmtId="1" fontId="17" fillId="2" borderId="2" xfId="0" applyNumberFormat="1" applyFont="1" applyFill="1" applyBorder="1" applyAlignment="1">
      <alignment horizontal="center" vertical="center"/>
    </xf>
    <xf numFmtId="1" fontId="18" fillId="2" borderId="2" xfId="0" applyNumberFormat="1" applyFont="1" applyFill="1" applyBorder="1" applyAlignment="1">
      <alignment horizontal="center" vertical="center"/>
    </xf>
    <xf numFmtId="3" fontId="13" fillId="2" borderId="2" xfId="56" applyNumberFormat="1" applyFont="1" applyFill="1" applyBorder="1" applyAlignment="1">
      <alignment horizontal="center" vertical="center"/>
    </xf>
    <xf numFmtId="164" fontId="17" fillId="2" borderId="2" xfId="2" applyFont="1" applyFill="1" applyBorder="1" applyAlignment="1">
      <alignment vertical="center" wrapText="1"/>
    </xf>
    <xf numFmtId="3" fontId="13" fillId="2" borderId="2" xfId="5" applyNumberFormat="1" applyFont="1" applyFill="1" applyBorder="1" applyAlignment="1">
      <alignment horizontal="center" vertical="center" wrapText="1"/>
    </xf>
    <xf numFmtId="164" fontId="15" fillId="2" borderId="2" xfId="2" applyFont="1" applyFill="1" applyBorder="1" applyAlignment="1">
      <alignment vertical="center"/>
    </xf>
    <xf numFmtId="164" fontId="15" fillId="2" borderId="2" xfId="2" applyFont="1" applyFill="1" applyBorder="1" applyAlignment="1">
      <alignment horizontal="center" vertical="center"/>
    </xf>
    <xf numFmtId="0" fontId="17" fillId="2" borderId="2" xfId="0" applyFont="1" applyFill="1" applyBorder="1" applyAlignment="1">
      <alignment vertical="center"/>
    </xf>
    <xf numFmtId="164" fontId="17" fillId="2" borderId="2" xfId="2" applyFont="1" applyFill="1" applyBorder="1" applyAlignment="1">
      <alignment vertical="center"/>
    </xf>
    <xf numFmtId="164" fontId="17" fillId="2" borderId="2" xfId="2" applyFont="1" applyFill="1" applyBorder="1" applyAlignment="1">
      <alignment horizontal="center" vertical="center"/>
    </xf>
    <xf numFmtId="0" fontId="17" fillId="2" borderId="0" xfId="0" applyFont="1" applyFill="1" applyAlignment="1">
      <alignment vertical="center"/>
    </xf>
    <xf numFmtId="164" fontId="18" fillId="2" borderId="2" xfId="2" applyFont="1" applyFill="1" applyBorder="1" applyAlignment="1">
      <alignment vertical="center"/>
    </xf>
    <xf numFmtId="164" fontId="18" fillId="2" borderId="2" xfId="2" applyFont="1" applyFill="1" applyBorder="1" applyAlignment="1">
      <alignment horizontal="center" vertical="center"/>
    </xf>
    <xf numFmtId="3" fontId="57" fillId="2" borderId="0" xfId="0" applyNumberFormat="1" applyFont="1" applyFill="1"/>
    <xf numFmtId="0" fontId="17" fillId="2" borderId="0" xfId="0" applyFont="1" applyFill="1" applyAlignment="1">
      <alignment horizontal="center" vertical="center"/>
    </xf>
    <xf numFmtId="0" fontId="22" fillId="2" borderId="2" xfId="0" quotePrefix="1" applyFont="1" applyFill="1" applyBorder="1" applyAlignment="1">
      <alignment horizontal="center" vertical="center"/>
    </xf>
    <xf numFmtId="0" fontId="22" fillId="2" borderId="2" xfId="0" quotePrefix="1" applyFont="1" applyFill="1" applyBorder="1" applyAlignment="1">
      <alignment vertical="center" wrapText="1"/>
    </xf>
    <xf numFmtId="0" fontId="22" fillId="2" borderId="2" xfId="0" applyFont="1" applyFill="1" applyBorder="1" applyAlignment="1">
      <alignment vertical="center"/>
    </xf>
    <xf numFmtId="0" fontId="22" fillId="2" borderId="2" xfId="0" applyFont="1" applyFill="1" applyBorder="1" applyAlignment="1">
      <alignment horizontal="center" vertical="center" wrapText="1"/>
    </xf>
    <xf numFmtId="3" fontId="22" fillId="2" borderId="2" xfId="0" applyNumberFormat="1" applyFont="1" applyFill="1" applyBorder="1" applyAlignment="1">
      <alignment vertical="center"/>
    </xf>
    <xf numFmtId="3" fontId="22" fillId="2" borderId="2" xfId="0" applyNumberFormat="1" applyFont="1" applyFill="1" applyBorder="1" applyAlignment="1">
      <alignment horizontal="center" vertical="center" wrapText="1"/>
    </xf>
    <xf numFmtId="0" fontId="22" fillId="2" borderId="0" xfId="0" applyFont="1" applyFill="1" applyAlignment="1">
      <alignment vertical="center"/>
    </xf>
    <xf numFmtId="0" fontId="22" fillId="2" borderId="0" xfId="0" applyFont="1" applyFill="1" applyAlignment="1">
      <alignment horizontal="center" vertical="center"/>
    </xf>
    <xf numFmtId="3" fontId="63" fillId="2" borderId="0" xfId="0" applyNumberFormat="1" applyFont="1" applyFill="1"/>
    <xf numFmtId="0" fontId="64" fillId="2" borderId="2" xfId="0" quotePrefix="1" applyFont="1" applyFill="1" applyBorder="1" applyAlignment="1">
      <alignment horizontal="center" vertical="center"/>
    </xf>
    <xf numFmtId="0" fontId="64" fillId="2" borderId="2" xfId="0" applyFont="1" applyFill="1" applyBorder="1" applyAlignment="1">
      <alignment vertical="center" wrapText="1"/>
    </xf>
    <xf numFmtId="0" fontId="64" fillId="2" borderId="2" xfId="0" quotePrefix="1" applyFont="1" applyFill="1" applyBorder="1" applyAlignment="1">
      <alignment vertical="center" wrapText="1"/>
    </xf>
    <xf numFmtId="0" fontId="64" fillId="2" borderId="2" xfId="0" applyFont="1" applyFill="1" applyBorder="1" applyAlignment="1">
      <alignment vertical="center"/>
    </xf>
    <xf numFmtId="0" fontId="64" fillId="2" borderId="2" xfId="0" applyFont="1" applyFill="1" applyBorder="1" applyAlignment="1">
      <alignment horizontal="center" vertical="center" wrapText="1"/>
    </xf>
    <xf numFmtId="3" fontId="64" fillId="2" borderId="2" xfId="0" applyNumberFormat="1" applyFont="1" applyFill="1" applyBorder="1" applyAlignment="1">
      <alignment vertical="center"/>
    </xf>
    <xf numFmtId="3" fontId="64" fillId="2" borderId="2" xfId="0" applyNumberFormat="1" applyFont="1" applyFill="1" applyBorder="1" applyAlignment="1">
      <alignment horizontal="center" vertical="center" wrapText="1"/>
    </xf>
    <xf numFmtId="0" fontId="64" fillId="2" borderId="0" xfId="0" applyFont="1" applyFill="1" applyAlignment="1">
      <alignment vertical="center"/>
    </xf>
    <xf numFmtId="0" fontId="64" fillId="2" borderId="0" xfId="0" applyFont="1" applyFill="1" applyAlignment="1">
      <alignment horizontal="center" vertical="center"/>
    </xf>
    <xf numFmtId="3" fontId="65" fillId="2" borderId="0" xfId="0" applyNumberFormat="1" applyFont="1" applyFill="1"/>
    <xf numFmtId="0" fontId="24" fillId="2" borderId="2" xfId="0" applyFont="1" applyFill="1" applyBorder="1" applyAlignment="1">
      <alignment horizontal="center" vertical="center" wrapText="1"/>
    </xf>
    <xf numFmtId="3" fontId="24" fillId="2" borderId="2" xfId="0" applyNumberFormat="1" applyFont="1" applyFill="1" applyBorder="1" applyAlignment="1">
      <alignment horizontal="center" vertical="center" wrapText="1"/>
    </xf>
    <xf numFmtId="0" fontId="24" fillId="2" borderId="0" xfId="0" applyFont="1" applyFill="1" applyAlignment="1">
      <alignment horizontal="center" vertical="center"/>
    </xf>
    <xf numFmtId="3" fontId="66" fillId="2" borderId="0" xfId="0" applyNumberFormat="1" applyFont="1" applyFill="1"/>
    <xf numFmtId="49" fontId="21" fillId="2" borderId="2" xfId="56" quotePrefix="1" applyNumberFormat="1" applyFont="1" applyFill="1" applyBorder="1" applyAlignment="1">
      <alignment horizontal="center" vertical="center"/>
    </xf>
    <xf numFmtId="0" fontId="21" fillId="2" borderId="2" xfId="0" quotePrefix="1" applyFont="1" applyFill="1" applyBorder="1" applyAlignment="1">
      <alignment vertical="center" wrapText="1"/>
    </xf>
    <xf numFmtId="0" fontId="21" fillId="2" borderId="2" xfId="0" applyFont="1" applyFill="1" applyBorder="1" applyAlignment="1">
      <alignment vertical="center"/>
    </xf>
    <xf numFmtId="3" fontId="21" fillId="2" borderId="2" xfId="14" applyNumberFormat="1" applyFont="1" applyFill="1" applyBorder="1" applyAlignment="1">
      <alignment horizontal="center" vertical="center" wrapText="1"/>
    </xf>
    <xf numFmtId="3" fontId="21" fillId="2" borderId="2" xfId="0" applyNumberFormat="1" applyFont="1" applyFill="1" applyBorder="1" applyAlignment="1">
      <alignment vertical="center"/>
    </xf>
    <xf numFmtId="3" fontId="21" fillId="2" borderId="2" xfId="0" applyNumberFormat="1" applyFont="1" applyFill="1" applyBorder="1" applyAlignment="1">
      <alignment horizontal="center" vertical="center" wrapText="1"/>
    </xf>
    <xf numFmtId="0" fontId="21" fillId="2" borderId="0" xfId="0" applyFont="1" applyFill="1" applyAlignment="1">
      <alignment vertical="center"/>
    </xf>
    <xf numFmtId="0" fontId="21" fillId="2" borderId="0" xfId="0" applyFont="1" applyFill="1" applyAlignment="1">
      <alignment horizontal="center" vertical="center"/>
    </xf>
    <xf numFmtId="3" fontId="67" fillId="2" borderId="0" xfId="0" applyNumberFormat="1" applyFont="1" applyFill="1"/>
    <xf numFmtId="49" fontId="22" fillId="2" borderId="2" xfId="56" quotePrefix="1" applyNumberFormat="1" applyFont="1" applyFill="1" applyBorder="1" applyAlignment="1">
      <alignment horizontal="center" vertical="center"/>
    </xf>
    <xf numFmtId="3" fontId="22" fillId="2" borderId="2" xfId="14" applyNumberFormat="1" applyFont="1" applyFill="1" applyBorder="1" applyAlignment="1">
      <alignment horizontal="center" vertical="center" wrapText="1"/>
    </xf>
    <xf numFmtId="3" fontId="15" fillId="2" borderId="0" xfId="0" applyNumberFormat="1" applyFont="1" applyFill="1" applyAlignment="1">
      <alignment horizontal="center" vertical="center"/>
    </xf>
    <xf numFmtId="164" fontId="15" fillId="2" borderId="2" xfId="0" applyNumberFormat="1" applyFont="1" applyFill="1" applyBorder="1" applyAlignment="1">
      <alignment vertical="center"/>
    </xf>
    <xf numFmtId="164" fontId="15" fillId="2" borderId="2" xfId="0" applyNumberFormat="1" applyFont="1" applyFill="1" applyBorder="1" applyAlignment="1">
      <alignment horizontal="center" vertical="center"/>
    </xf>
    <xf numFmtId="164" fontId="18" fillId="2" borderId="2" xfId="0" applyNumberFormat="1" applyFont="1" applyFill="1" applyBorder="1" applyAlignment="1">
      <alignment vertical="center"/>
    </xf>
    <xf numFmtId="164" fontId="18" fillId="2" borderId="2" xfId="0" applyNumberFormat="1" applyFont="1" applyFill="1" applyBorder="1" applyAlignment="1">
      <alignment horizontal="center" vertical="center"/>
    </xf>
    <xf numFmtId="178" fontId="13" fillId="2" borderId="2" xfId="1" applyNumberFormat="1" applyFont="1" applyFill="1" applyBorder="1" applyAlignment="1">
      <alignment horizontal="center" vertical="center" wrapText="1"/>
    </xf>
    <xf numFmtId="0" fontId="13" fillId="2" borderId="0" xfId="0" applyFont="1" applyFill="1" applyAlignment="1">
      <alignment vertical="center" wrapText="1"/>
    </xf>
    <xf numFmtId="169" fontId="15" fillId="2" borderId="2" xfId="10" applyNumberFormat="1" applyFont="1" applyFill="1" applyBorder="1" applyAlignment="1">
      <alignment horizontal="right" vertical="center" wrapText="1"/>
    </xf>
    <xf numFmtId="169" fontId="15" fillId="2" borderId="2" xfId="10" applyNumberFormat="1" applyFont="1" applyFill="1" applyBorder="1" applyAlignment="1">
      <alignment horizontal="center" vertical="center" wrapText="1"/>
    </xf>
    <xf numFmtId="49" fontId="17" fillId="2" borderId="2" xfId="25" applyNumberFormat="1" applyFont="1" applyFill="1" applyBorder="1" applyAlignment="1" applyProtection="1">
      <alignment horizontal="center" vertical="center" wrapText="1"/>
      <protection locked="0"/>
    </xf>
    <xf numFmtId="3" fontId="13" fillId="2" borderId="2" xfId="17" applyNumberFormat="1" applyFont="1" applyFill="1" applyBorder="1" applyAlignment="1">
      <alignment horizontal="right" vertical="center" wrapText="1"/>
    </xf>
    <xf numFmtId="49" fontId="15" fillId="2" borderId="2" xfId="56" applyNumberFormat="1" applyFont="1" applyFill="1" applyBorder="1" applyAlignment="1">
      <alignment horizontal="center" vertical="center"/>
    </xf>
    <xf numFmtId="0" fontId="18" fillId="2" borderId="2" xfId="16" applyNumberFormat="1" applyFont="1" applyFill="1" applyBorder="1" applyAlignment="1" applyProtection="1">
      <alignment horizontal="center" vertical="center" wrapText="1"/>
    </xf>
    <xf numFmtId="1" fontId="13" fillId="2" borderId="2" xfId="26" applyNumberFormat="1" applyFont="1" applyFill="1" applyBorder="1" applyAlignment="1">
      <alignment horizontal="center" vertical="center" wrapText="1"/>
    </xf>
    <xf numFmtId="164" fontId="13" fillId="2" borderId="2" xfId="14" applyNumberFormat="1" applyFont="1" applyFill="1" applyBorder="1" applyAlignment="1">
      <alignment horizontal="center" vertical="center" wrapText="1"/>
    </xf>
    <xf numFmtId="0" fontId="17" fillId="2" borderId="2" xfId="0" applyFont="1" applyFill="1" applyBorder="1" applyAlignment="1">
      <alignment horizontal="left" vertical="center" wrapText="1"/>
    </xf>
    <xf numFmtId="0" fontId="18" fillId="2" borderId="2" xfId="34" applyFont="1" applyFill="1" applyBorder="1" applyAlignment="1">
      <alignment horizontal="center" vertical="center" wrapText="1"/>
    </xf>
    <xf numFmtId="3" fontId="17" fillId="2" borderId="2" xfId="0" applyNumberFormat="1" applyFont="1" applyFill="1" applyBorder="1" applyAlignment="1">
      <alignment horizontal="right" vertical="center"/>
    </xf>
    <xf numFmtId="0" fontId="18" fillId="2" borderId="2" xfId="0" applyFont="1" applyFill="1" applyBorder="1" applyAlignment="1">
      <alignment horizontal="left" vertical="center" wrapText="1"/>
    </xf>
    <xf numFmtId="1" fontId="13" fillId="2" borderId="2" xfId="56" quotePrefix="1" applyNumberFormat="1" applyFont="1" applyFill="1" applyBorder="1" applyAlignment="1">
      <alignment horizontal="center" vertical="center"/>
    </xf>
    <xf numFmtId="1" fontId="13" fillId="2" borderId="2" xfId="56" applyNumberFormat="1" applyFont="1" applyFill="1" applyBorder="1" applyAlignment="1">
      <alignment vertical="center" wrapText="1"/>
    </xf>
    <xf numFmtId="0" fontId="13" fillId="4" borderId="2" xfId="0" applyFont="1" applyFill="1" applyBorder="1" applyAlignment="1">
      <alignment horizontal="center" vertical="center" wrapText="1"/>
    </xf>
    <xf numFmtId="3" fontId="15" fillId="2" borderId="2" xfId="22" applyNumberFormat="1" applyFont="1" applyFill="1" applyBorder="1" applyAlignment="1">
      <alignment horizontal="left" vertical="center" wrapText="1"/>
    </xf>
    <xf numFmtId="3" fontId="13" fillId="2" borderId="2" xfId="22" applyNumberFormat="1" applyFont="1" applyFill="1" applyBorder="1" applyAlignment="1">
      <alignment horizontal="left" vertical="center" wrapText="1"/>
    </xf>
    <xf numFmtId="0" fontId="13" fillId="2" borderId="2" xfId="41" applyFont="1" applyFill="1" applyBorder="1" applyAlignment="1">
      <alignment horizontal="justify" vertical="center" wrapText="1"/>
    </xf>
    <xf numFmtId="1" fontId="15" fillId="2" borderId="2" xfId="56" quotePrefix="1" applyNumberFormat="1" applyFont="1" applyFill="1" applyBorder="1" applyAlignment="1">
      <alignment horizontal="center" vertical="center"/>
    </xf>
    <xf numFmtId="0" fontId="15" fillId="2" borderId="2" xfId="16" applyNumberFormat="1" applyFont="1" applyFill="1" applyBorder="1" applyAlignment="1" applyProtection="1">
      <alignment horizontal="center" vertical="center" wrapText="1"/>
    </xf>
    <xf numFmtId="3" fontId="15" fillId="2" borderId="2" xfId="56" quotePrefix="1" applyNumberFormat="1" applyFont="1" applyFill="1" applyBorder="1" applyAlignment="1">
      <alignment horizontal="center" vertical="center" wrapText="1"/>
    </xf>
    <xf numFmtId="164" fontId="15" fillId="2" borderId="2" xfId="16" applyNumberFormat="1" applyFont="1" applyFill="1" applyBorder="1" applyAlignment="1" applyProtection="1">
      <alignment horizontal="right" vertical="center" wrapText="1"/>
    </xf>
    <xf numFmtId="164" fontId="15" fillId="2" borderId="2" xfId="16" applyNumberFormat="1" applyFont="1" applyFill="1" applyBorder="1" applyAlignment="1" applyProtection="1">
      <alignment horizontal="center" vertical="center" wrapText="1"/>
    </xf>
    <xf numFmtId="0" fontId="17" fillId="2" borderId="2" xfId="16" applyNumberFormat="1" applyFont="1" applyFill="1" applyBorder="1" applyAlignment="1" applyProtection="1">
      <alignment horizontal="center" vertical="center" wrapText="1"/>
    </xf>
    <xf numFmtId="3" fontId="17" fillId="2" borderId="2" xfId="56" quotePrefix="1" applyNumberFormat="1" applyFont="1" applyFill="1" applyBorder="1" applyAlignment="1">
      <alignment horizontal="center" vertical="center" wrapText="1"/>
    </xf>
    <xf numFmtId="164" fontId="17" fillId="2" borderId="2" xfId="16" applyNumberFormat="1" applyFont="1" applyFill="1" applyBorder="1" applyAlignment="1" applyProtection="1">
      <alignment horizontal="right" vertical="center" wrapText="1"/>
    </xf>
    <xf numFmtId="164" fontId="17" fillId="2" borderId="2" xfId="16" applyNumberFormat="1" applyFont="1" applyFill="1" applyBorder="1" applyAlignment="1" applyProtection="1">
      <alignment horizontal="center" vertical="center" wrapText="1"/>
    </xf>
    <xf numFmtId="164" fontId="13" fillId="2" borderId="2" xfId="16" applyNumberFormat="1" applyFont="1" applyFill="1" applyBorder="1" applyAlignment="1" applyProtection="1">
      <alignment horizontal="center" vertical="center" wrapText="1"/>
    </xf>
    <xf numFmtId="164" fontId="18" fillId="2" borderId="2" xfId="16" applyNumberFormat="1" applyFont="1" applyFill="1" applyBorder="1" applyAlignment="1" applyProtection="1">
      <alignment horizontal="right" vertical="center" wrapText="1"/>
    </xf>
    <xf numFmtId="164" fontId="18" fillId="2" borderId="2" xfId="16" applyNumberFormat="1" applyFont="1" applyFill="1" applyBorder="1" applyAlignment="1" applyProtection="1">
      <alignment horizontal="center" vertical="center" wrapText="1"/>
    </xf>
    <xf numFmtId="1" fontId="17" fillId="2" borderId="2" xfId="56" quotePrefix="1" applyNumberFormat="1" applyFont="1" applyFill="1" applyBorder="1" applyAlignment="1">
      <alignment horizontal="center" vertical="center"/>
    </xf>
    <xf numFmtId="1" fontId="18" fillId="2" borderId="2" xfId="56" applyNumberFormat="1" applyFont="1" applyFill="1" applyBorder="1" applyAlignment="1">
      <alignment horizontal="left" vertical="center" wrapText="1"/>
    </xf>
    <xf numFmtId="1" fontId="13" fillId="2" borderId="2" xfId="14" applyNumberFormat="1" applyFont="1" applyFill="1" applyBorder="1" applyAlignment="1">
      <alignment horizontal="center" vertical="center" wrapText="1"/>
    </xf>
    <xf numFmtId="3" fontId="15" fillId="2" borderId="2" xfId="26" applyNumberFormat="1" applyFont="1" applyFill="1" applyBorder="1" applyAlignment="1">
      <alignment vertical="center" wrapText="1"/>
    </xf>
    <xf numFmtId="3" fontId="13" fillId="2" borderId="2" xfId="55" applyNumberFormat="1" applyFont="1" applyFill="1" applyBorder="1" applyAlignment="1">
      <alignment horizontal="center" vertical="center" wrapText="1"/>
    </xf>
    <xf numFmtId="166" fontId="13" fillId="2" borderId="2" xfId="24" applyNumberFormat="1" applyFont="1" applyFill="1" applyBorder="1" applyAlignment="1">
      <alignment horizontal="left" vertical="center" wrapText="1"/>
    </xf>
    <xf numFmtId="0" fontId="13" fillId="2" borderId="2" xfId="47" applyFont="1" applyFill="1" applyBorder="1" applyAlignment="1">
      <alignment vertical="center" wrapText="1"/>
    </xf>
    <xf numFmtId="3" fontId="18" fillId="2" borderId="2" xfId="56" applyNumberFormat="1" applyFont="1" applyFill="1" applyBorder="1" applyAlignment="1">
      <alignment horizontal="center" vertical="center" wrapText="1"/>
    </xf>
    <xf numFmtId="3" fontId="13" fillId="2" borderId="2" xfId="8" applyNumberFormat="1" applyFont="1" applyFill="1" applyBorder="1" applyAlignment="1">
      <alignment horizontal="right" vertical="center" wrapText="1"/>
    </xf>
    <xf numFmtId="0" fontId="15" fillId="2" borderId="2" xfId="0" quotePrefix="1" applyFont="1" applyFill="1" applyBorder="1" applyAlignment="1">
      <alignment horizontal="center" vertical="center" wrapText="1"/>
    </xf>
    <xf numFmtId="169" fontId="15" fillId="2" borderId="2" xfId="11" applyNumberFormat="1" applyFont="1" applyFill="1" applyBorder="1" applyAlignment="1">
      <alignment horizontal="left" vertical="center" wrapText="1"/>
    </xf>
    <xf numFmtId="3" fontId="15" fillId="2" borderId="2" xfId="8" applyNumberFormat="1" applyFont="1" applyFill="1" applyBorder="1" applyAlignment="1">
      <alignment horizontal="center" vertical="center" wrapText="1"/>
    </xf>
    <xf numFmtId="3" fontId="15" fillId="2" borderId="2" xfId="8" applyNumberFormat="1" applyFont="1" applyFill="1" applyBorder="1" applyAlignment="1">
      <alignment horizontal="right" vertical="center" wrapText="1"/>
    </xf>
    <xf numFmtId="3" fontId="15" fillId="2" borderId="2" xfId="10" applyNumberFormat="1" applyFont="1" applyFill="1" applyBorder="1" applyAlignment="1">
      <alignment horizontal="center" vertical="center" wrapText="1"/>
    </xf>
    <xf numFmtId="166" fontId="15" fillId="2" borderId="2" xfId="1" applyNumberFormat="1" applyFont="1" applyFill="1" applyBorder="1" applyAlignment="1">
      <alignment vertical="center" wrapText="1"/>
    </xf>
    <xf numFmtId="0" fontId="13" fillId="2" borderId="2" xfId="0" applyFont="1" applyFill="1" applyBorder="1" applyAlignment="1">
      <alignment vertical="center" wrapText="1" shrinkToFit="1"/>
    </xf>
    <xf numFmtId="3" fontId="15" fillId="2" borderId="2" xfId="0" applyNumberFormat="1" applyFont="1" applyFill="1" applyBorder="1" applyAlignment="1">
      <alignment vertical="center" wrapText="1"/>
    </xf>
    <xf numFmtId="0" fontId="15" fillId="2" borderId="2" xfId="56" applyFont="1" applyFill="1" applyBorder="1" applyAlignment="1">
      <alignment horizontal="center" vertical="center" wrapText="1"/>
    </xf>
    <xf numFmtId="0" fontId="17" fillId="2" borderId="2" xfId="41" applyFont="1" applyFill="1" applyBorder="1" applyAlignment="1">
      <alignment horizontal="justify" vertical="center" wrapText="1"/>
    </xf>
    <xf numFmtId="49" fontId="13" fillId="2" borderId="2" xfId="0" applyNumberFormat="1" applyFont="1" applyFill="1" applyBorder="1" applyAlignment="1">
      <alignment horizontal="center" vertical="center" wrapText="1"/>
    </xf>
    <xf numFmtId="3" fontId="13" fillId="2" borderId="2" xfId="0" quotePrefix="1" applyNumberFormat="1" applyFont="1" applyFill="1" applyBorder="1" applyAlignment="1">
      <alignment horizontal="center" vertical="center" wrapText="1"/>
    </xf>
    <xf numFmtId="3" fontId="15" fillId="2" borderId="2" xfId="0" quotePrefix="1" applyNumberFormat="1" applyFont="1" applyFill="1" applyBorder="1" applyAlignment="1">
      <alignment horizontal="center" vertical="center" wrapText="1"/>
    </xf>
    <xf numFmtId="0" fontId="15" fillId="2" borderId="2" xfId="41" applyFont="1" applyFill="1" applyBorder="1" applyAlignment="1">
      <alignment horizontal="justify" vertical="center" wrapText="1"/>
    </xf>
    <xf numFmtId="165" fontId="13" fillId="2" borderId="2" xfId="1" applyFont="1" applyFill="1" applyBorder="1" applyAlignment="1">
      <alignment horizontal="center" vertical="center" wrapText="1"/>
    </xf>
    <xf numFmtId="0" fontId="13" fillId="2" borderId="2" xfId="33" applyFont="1" applyFill="1" applyBorder="1" applyAlignment="1">
      <alignment horizontal="center" vertical="center"/>
    </xf>
    <xf numFmtId="3" fontId="13" fillId="2" borderId="2" xfId="8" applyNumberFormat="1" applyFont="1" applyFill="1" applyBorder="1" applyAlignment="1">
      <alignment vertical="center"/>
    </xf>
    <xf numFmtId="0" fontId="13" fillId="2" borderId="2" xfId="0" applyFont="1" applyFill="1" applyBorder="1" applyAlignment="1">
      <alignment horizontal="right" vertical="center" wrapText="1"/>
    </xf>
    <xf numFmtId="3" fontId="13" fillId="2" borderId="2" xfId="0" applyNumberFormat="1" applyFont="1" applyFill="1" applyBorder="1" applyAlignment="1">
      <alignment horizontal="right" wrapText="1"/>
    </xf>
    <xf numFmtId="3" fontId="15" fillId="2" borderId="2" xfId="25" applyNumberFormat="1" applyFont="1" applyFill="1" applyBorder="1" applyAlignment="1">
      <alignment horizontal="right" vertical="center" wrapText="1"/>
    </xf>
    <xf numFmtId="3" fontId="15" fillId="2" borderId="2" xfId="25" applyNumberFormat="1" applyFont="1" applyFill="1" applyBorder="1" applyAlignment="1">
      <alignment horizontal="center" vertical="center" wrapText="1"/>
    </xf>
    <xf numFmtId="3" fontId="17" fillId="2" borderId="2" xfId="25" applyNumberFormat="1" applyFont="1" applyFill="1" applyBorder="1" applyAlignment="1">
      <alignment horizontal="right" vertical="center" wrapText="1"/>
    </xf>
    <xf numFmtId="3" fontId="17" fillId="2" borderId="2" xfId="25" applyNumberFormat="1" applyFont="1" applyFill="1" applyBorder="1" applyAlignment="1">
      <alignment horizontal="center" vertical="center" wrapText="1"/>
    </xf>
    <xf numFmtId="3" fontId="18" fillId="2" borderId="2" xfId="25" applyNumberFormat="1" applyFont="1" applyFill="1" applyBorder="1" applyAlignment="1">
      <alignment horizontal="right" vertical="center" wrapText="1"/>
    </xf>
    <xf numFmtId="3" fontId="18" fillId="2" borderId="2" xfId="25" applyNumberFormat="1" applyFont="1" applyFill="1" applyBorder="1" applyAlignment="1">
      <alignment horizontal="center" vertical="center" wrapText="1"/>
    </xf>
    <xf numFmtId="164" fontId="13" fillId="2" borderId="0" xfId="0" applyNumberFormat="1" applyFont="1" applyFill="1"/>
    <xf numFmtId="166" fontId="13" fillId="2" borderId="0" xfId="1" applyNumberFormat="1" applyFont="1" applyFill="1"/>
    <xf numFmtId="182" fontId="13" fillId="2" borderId="2" xfId="14" applyNumberFormat="1" applyFont="1" applyFill="1" applyBorder="1" applyAlignment="1">
      <alignment horizontal="center" vertical="center" wrapText="1"/>
    </xf>
    <xf numFmtId="49" fontId="13" fillId="2" borderId="2" xfId="14" applyNumberFormat="1" applyFont="1" applyFill="1" applyBorder="1" applyAlignment="1">
      <alignment horizontal="center" vertical="center" wrapText="1"/>
    </xf>
    <xf numFmtId="164" fontId="13" fillId="2" borderId="2" xfId="56" applyNumberFormat="1" applyFont="1" applyFill="1" applyBorder="1" applyAlignment="1">
      <alignment horizontal="center" vertical="center" wrapText="1"/>
    </xf>
    <xf numFmtId="1" fontId="17" fillId="2" borderId="2" xfId="56" applyNumberFormat="1" applyFont="1" applyFill="1" applyBorder="1" applyAlignment="1">
      <alignment horizontal="center" vertical="center"/>
    </xf>
    <xf numFmtId="167" fontId="13" fillId="2" borderId="2" xfId="56" applyNumberFormat="1" applyFont="1" applyFill="1" applyBorder="1" applyAlignment="1">
      <alignment horizontal="center" vertical="center" wrapText="1"/>
    </xf>
    <xf numFmtId="169" fontId="13" fillId="2" borderId="2" xfId="3" applyNumberFormat="1" applyFont="1" applyFill="1" applyBorder="1" applyAlignment="1">
      <alignment horizontal="center" vertical="center" wrapText="1"/>
    </xf>
    <xf numFmtId="166" fontId="13" fillId="2" borderId="2" xfId="3" applyNumberFormat="1" applyFont="1" applyFill="1" applyBorder="1" applyAlignment="1">
      <alignment vertical="center"/>
    </xf>
    <xf numFmtId="167" fontId="13" fillId="2" borderId="2" xfId="56" applyNumberFormat="1" applyFont="1" applyFill="1" applyBorder="1" applyAlignment="1">
      <alignment horizontal="right" vertical="center"/>
    </xf>
    <xf numFmtId="0" fontId="13" fillId="2" borderId="2" xfId="30" applyFont="1" applyFill="1" applyBorder="1" applyAlignment="1">
      <alignment horizontal="left" vertical="center" wrapText="1"/>
    </xf>
    <xf numFmtId="169" fontId="13" fillId="2" borderId="2" xfId="4" applyNumberFormat="1" applyFont="1" applyFill="1" applyBorder="1" applyAlignment="1">
      <alignment horizontal="center" vertical="center" wrapText="1"/>
    </xf>
    <xf numFmtId="3" fontId="13" fillId="2" borderId="2" xfId="3" applyNumberFormat="1" applyFont="1" applyFill="1" applyBorder="1" applyAlignment="1">
      <alignment horizontal="center" vertical="center" wrapText="1"/>
    </xf>
    <xf numFmtId="169" fontId="13" fillId="2" borderId="2" xfId="3" applyNumberFormat="1" applyFont="1" applyFill="1" applyBorder="1" applyAlignment="1">
      <alignment horizontal="left" vertical="center" wrapText="1"/>
    </xf>
    <xf numFmtId="164" fontId="21" fillId="2" borderId="2" xfId="0" applyNumberFormat="1" applyFont="1" applyFill="1" applyBorder="1" applyAlignment="1">
      <alignment horizontal="right" vertical="center"/>
    </xf>
    <xf numFmtId="166" fontId="13" fillId="2" borderId="2" xfId="1" applyNumberFormat="1" applyFont="1" applyFill="1" applyBorder="1" applyAlignment="1">
      <alignment horizontal="left" vertical="center" wrapText="1"/>
    </xf>
    <xf numFmtId="49" fontId="13" fillId="2" borderId="2" xfId="39" applyNumberFormat="1" applyFont="1" applyFill="1" applyBorder="1" applyAlignment="1">
      <alignment horizontal="center" vertical="center" wrapText="1"/>
    </xf>
    <xf numFmtId="168" fontId="13" fillId="2" borderId="2" xfId="39" applyNumberFormat="1" applyFont="1" applyFill="1" applyBorder="1" applyAlignment="1">
      <alignment horizontal="center" vertical="center" wrapText="1"/>
    </xf>
    <xf numFmtId="164" fontId="13" fillId="2" borderId="2" xfId="2" applyFont="1" applyFill="1" applyBorder="1" applyAlignment="1">
      <alignment horizontal="right" vertical="center"/>
    </xf>
    <xf numFmtId="1" fontId="13" fillId="2" borderId="2" xfId="0" applyNumberFormat="1" applyFont="1" applyFill="1" applyBorder="1" applyAlignment="1">
      <alignment horizontal="left" vertical="center" wrapText="1"/>
    </xf>
    <xf numFmtId="3" fontId="13" fillId="2" borderId="2" xfId="5" applyNumberFormat="1" applyFont="1" applyFill="1" applyBorder="1" applyAlignment="1">
      <alignment horizontal="right" vertical="center"/>
    </xf>
    <xf numFmtId="1" fontId="15" fillId="2" borderId="2" xfId="0" applyNumberFormat="1" applyFont="1" applyFill="1" applyBorder="1" applyAlignment="1">
      <alignment horizontal="left" vertical="center" wrapText="1"/>
    </xf>
    <xf numFmtId="3" fontId="13" fillId="2" borderId="2" xfId="15" applyNumberFormat="1" applyFont="1" applyFill="1" applyBorder="1" applyAlignment="1">
      <alignment vertical="center" wrapText="1"/>
    </xf>
    <xf numFmtId="3" fontId="13" fillId="2" borderId="2" xfId="26" quotePrefix="1" applyNumberFormat="1" applyFont="1" applyFill="1" applyBorder="1" applyAlignment="1">
      <alignment horizontal="center" vertical="center" wrapText="1"/>
    </xf>
    <xf numFmtId="0" fontId="13" fillId="2" borderId="2" xfId="41" applyFont="1" applyFill="1" applyBorder="1" applyAlignment="1">
      <alignment horizontal="center" vertical="center" wrapText="1"/>
    </xf>
    <xf numFmtId="1" fontId="15" fillId="2" borderId="2" xfId="56" applyNumberFormat="1" applyFont="1" applyFill="1" applyBorder="1" applyAlignment="1">
      <alignment vertical="center" wrapText="1"/>
    </xf>
    <xf numFmtId="3" fontId="15" fillId="2" borderId="2" xfId="14" applyNumberFormat="1" applyFont="1" applyFill="1" applyBorder="1" applyAlignment="1">
      <alignment horizontal="center" vertical="center" wrapText="1"/>
    </xf>
    <xf numFmtId="3" fontId="15" fillId="2" borderId="2" xfId="56" applyNumberFormat="1" applyFont="1" applyFill="1" applyBorder="1" applyAlignment="1">
      <alignment horizontal="center" vertical="center"/>
    </xf>
    <xf numFmtId="3" fontId="18" fillId="2" borderId="2" xfId="55" applyNumberFormat="1" applyFont="1" applyFill="1" applyBorder="1" applyAlignment="1">
      <alignment horizontal="center" vertical="center" wrapText="1"/>
    </xf>
    <xf numFmtId="3" fontId="18" fillId="2" borderId="2" xfId="56" quotePrefix="1" applyNumberFormat="1" applyFont="1" applyFill="1" applyBorder="1" applyAlignment="1">
      <alignment horizontal="right" vertical="center" wrapText="1"/>
    </xf>
    <xf numFmtId="3" fontId="15" fillId="2" borderId="2" xfId="56" quotePrefix="1" applyNumberFormat="1" applyFont="1" applyFill="1" applyBorder="1" applyAlignment="1">
      <alignment horizontal="right" vertical="center" wrapText="1"/>
    </xf>
    <xf numFmtId="3" fontId="13" fillId="2" borderId="2" xfId="1" applyNumberFormat="1" applyFont="1" applyFill="1" applyBorder="1" applyAlignment="1">
      <alignment horizontal="right" vertical="center"/>
    </xf>
    <xf numFmtId="3" fontId="15" fillId="2" borderId="2" xfId="56" quotePrefix="1" applyNumberFormat="1" applyFont="1" applyFill="1" applyBorder="1" applyAlignment="1">
      <alignment horizontal="center" vertical="center"/>
    </xf>
    <xf numFmtId="3" fontId="15" fillId="2" borderId="2" xfId="1" applyNumberFormat="1" applyFont="1" applyFill="1" applyBorder="1" applyAlignment="1">
      <alignment vertical="center" wrapText="1"/>
    </xf>
    <xf numFmtId="165" fontId="13" fillId="2" borderId="2" xfId="1" quotePrefix="1" applyFont="1" applyFill="1" applyBorder="1" applyAlignment="1">
      <alignment horizontal="center" vertical="center" wrapText="1"/>
    </xf>
    <xf numFmtId="3" fontId="13" fillId="2" borderId="2" xfId="1" applyNumberFormat="1" applyFont="1" applyFill="1" applyBorder="1" applyAlignment="1">
      <alignment vertical="center" wrapText="1"/>
    </xf>
    <xf numFmtId="0" fontId="13" fillId="2" borderId="2" xfId="34" applyFont="1" applyFill="1" applyBorder="1" applyAlignment="1">
      <alignment horizontal="left" vertical="center" wrapText="1"/>
    </xf>
    <xf numFmtId="173" fontId="13" fillId="2" borderId="2" xfId="0" applyNumberFormat="1" applyFont="1" applyFill="1" applyBorder="1" applyAlignment="1">
      <alignment horizontal="center" vertical="center" wrapText="1"/>
    </xf>
    <xf numFmtId="3" fontId="13" fillId="2" borderId="2" xfId="4" applyNumberFormat="1" applyFont="1" applyFill="1" applyBorder="1" applyAlignment="1">
      <alignment horizontal="left" vertical="center" wrapText="1"/>
    </xf>
    <xf numFmtId="166" fontId="18" fillId="2" borderId="2" xfId="1" applyNumberFormat="1" applyFont="1" applyFill="1" applyBorder="1" applyAlignment="1">
      <alignment horizontal="center" vertical="center" wrapText="1"/>
    </xf>
    <xf numFmtId="166" fontId="18" fillId="2" borderId="2" xfId="1" applyNumberFormat="1" applyFont="1" applyFill="1" applyBorder="1" applyAlignment="1">
      <alignment vertical="center" wrapText="1"/>
    </xf>
    <xf numFmtId="0" fontId="17" fillId="2" borderId="2" xfId="0" quotePrefix="1" applyFont="1" applyFill="1" applyBorder="1" applyAlignment="1">
      <alignment horizontal="center" vertical="center" wrapText="1"/>
    </xf>
    <xf numFmtId="0" fontId="17" fillId="2" borderId="2" xfId="27" applyFont="1" applyFill="1" applyBorder="1" applyAlignment="1">
      <alignment vertical="center" wrapText="1"/>
    </xf>
    <xf numFmtId="166" fontId="17" fillId="2" borderId="2" xfId="1" applyNumberFormat="1" applyFont="1" applyFill="1" applyBorder="1" applyAlignment="1">
      <alignment vertical="center" wrapText="1"/>
    </xf>
    <xf numFmtId="166" fontId="17" fillId="2" borderId="2" xfId="1" applyNumberFormat="1" applyFont="1" applyFill="1" applyBorder="1" applyAlignment="1">
      <alignment horizontal="center" vertical="center" wrapText="1"/>
    </xf>
    <xf numFmtId="3" fontId="13" fillId="2" borderId="2" xfId="8" applyNumberFormat="1" applyFont="1" applyFill="1" applyBorder="1" applyAlignment="1">
      <alignment horizontal="left" vertical="center" wrapText="1"/>
    </xf>
    <xf numFmtId="174" fontId="13" fillId="2" borderId="2" xfId="8" applyNumberFormat="1" applyFont="1" applyFill="1" applyBorder="1" applyAlignment="1">
      <alignment horizontal="center" vertical="center" wrapText="1"/>
    </xf>
    <xf numFmtId="0" fontId="15" fillId="2" borderId="2" xfId="41" applyFont="1" applyFill="1" applyBorder="1" applyAlignment="1">
      <alignment horizontal="center" vertical="center" wrapText="1"/>
    </xf>
    <xf numFmtId="3" fontId="13" fillId="2" borderId="2" xfId="56" applyNumberFormat="1" applyFont="1" applyFill="1" applyBorder="1" applyAlignment="1">
      <alignment vertical="center" wrapText="1"/>
    </xf>
    <xf numFmtId="1" fontId="17" fillId="2" borderId="2" xfId="0" applyNumberFormat="1" applyFont="1" applyFill="1" applyBorder="1" applyAlignment="1">
      <alignment horizontal="center" vertical="center" wrapText="1"/>
    </xf>
    <xf numFmtId="49" fontId="24" fillId="2" borderId="2" xfId="56" quotePrefix="1" applyNumberFormat="1" applyFont="1" applyFill="1" applyBorder="1" applyAlignment="1">
      <alignment horizontal="center" vertical="center"/>
    </xf>
    <xf numFmtId="0" fontId="24" fillId="2" borderId="2" xfId="0" applyFont="1" applyFill="1" applyBorder="1" applyAlignment="1">
      <alignment horizontal="justify" vertical="center" wrapText="1"/>
    </xf>
    <xf numFmtId="1" fontId="24" fillId="2" borderId="2" xfId="0" applyNumberFormat="1" applyFont="1" applyFill="1" applyBorder="1" applyAlignment="1">
      <alignment horizontal="center" vertical="center" wrapText="1"/>
    </xf>
    <xf numFmtId="3" fontId="24" fillId="2" borderId="2" xfId="22" applyNumberFormat="1" applyFont="1" applyFill="1" applyBorder="1" applyAlignment="1">
      <alignment horizontal="right" vertical="center" wrapText="1"/>
    </xf>
    <xf numFmtId="3" fontId="24" fillId="2" borderId="2" xfId="22" applyNumberFormat="1" applyFont="1" applyFill="1" applyBorder="1" applyAlignment="1">
      <alignment horizontal="center" vertical="center" wrapText="1"/>
    </xf>
    <xf numFmtId="0" fontId="24" fillId="2" borderId="0" xfId="0" applyFont="1" applyFill="1"/>
    <xf numFmtId="3" fontId="13" fillId="2" borderId="2" xfId="14" applyNumberFormat="1" applyFont="1" applyFill="1" applyBorder="1" applyAlignment="1" applyProtection="1">
      <alignment horizontal="right" vertical="center" wrapText="1"/>
    </xf>
    <xf numFmtId="3" fontId="21" fillId="2" borderId="2" xfId="14" applyNumberFormat="1" applyFont="1" applyFill="1" applyBorder="1" applyAlignment="1">
      <alignment horizontal="right" vertical="center" wrapText="1"/>
    </xf>
    <xf numFmtId="0" fontId="17" fillId="2" borderId="2" xfId="27" applyFont="1" applyFill="1" applyBorder="1" applyAlignment="1">
      <alignment horizontal="center" vertical="center" wrapText="1"/>
    </xf>
    <xf numFmtId="0" fontId="15" fillId="2" borderId="2" xfId="0" applyFont="1" applyFill="1" applyBorder="1" applyAlignment="1">
      <alignment wrapText="1"/>
    </xf>
    <xf numFmtId="0" fontId="13" fillId="2" borderId="2" xfId="0" applyFont="1" applyFill="1" applyBorder="1" applyAlignment="1">
      <alignment wrapText="1"/>
    </xf>
    <xf numFmtId="164" fontId="17" fillId="2" borderId="2" xfId="0" applyNumberFormat="1" applyFont="1" applyFill="1" applyBorder="1" applyAlignment="1">
      <alignment vertical="center"/>
    </xf>
    <xf numFmtId="164" fontId="17" fillId="2" borderId="2" xfId="0" applyNumberFormat="1" applyFont="1" applyFill="1" applyBorder="1" applyAlignment="1">
      <alignment horizontal="center" vertical="center"/>
    </xf>
    <xf numFmtId="166" fontId="13" fillId="2" borderId="2" xfId="1" applyNumberFormat="1" applyFont="1" applyFill="1" applyBorder="1" applyAlignment="1" applyProtection="1">
      <alignment horizontal="justify" vertical="center" wrapText="1"/>
      <protection locked="0"/>
    </xf>
    <xf numFmtId="49" fontId="15" fillId="2" borderId="2" xfId="56" quotePrefix="1" applyNumberFormat="1" applyFont="1" applyFill="1" applyBorder="1" applyAlignment="1">
      <alignment horizontal="center" vertical="center" wrapText="1"/>
    </xf>
    <xf numFmtId="164" fontId="13" fillId="2" borderId="2" xfId="16" applyNumberFormat="1" applyFont="1" applyFill="1" applyBorder="1" applyAlignment="1">
      <alignment horizontal="right" vertical="center" wrapText="1"/>
    </xf>
    <xf numFmtId="0" fontId="17" fillId="2" borderId="0" xfId="0" applyFont="1" applyFill="1" applyAlignment="1">
      <alignment vertical="center" wrapText="1"/>
    </xf>
    <xf numFmtId="0" fontId="15" fillId="2" borderId="2" xfId="34" applyFont="1" applyFill="1" applyBorder="1" applyAlignment="1">
      <alignment horizontal="center" vertical="center" wrapText="1"/>
    </xf>
    <xf numFmtId="0" fontId="17" fillId="2" borderId="2" xfId="34" applyFont="1" applyFill="1" applyBorder="1" applyAlignment="1">
      <alignment horizontal="center" vertical="center" wrapText="1"/>
    </xf>
    <xf numFmtId="166" fontId="15" fillId="2" borderId="2" xfId="1" applyNumberFormat="1" applyFont="1" applyFill="1" applyBorder="1" applyAlignment="1">
      <alignment vertical="center"/>
    </xf>
    <xf numFmtId="166" fontId="15" fillId="2" borderId="2" xfId="1" applyNumberFormat="1" applyFont="1" applyFill="1" applyBorder="1" applyAlignment="1">
      <alignment horizontal="center" vertical="center"/>
    </xf>
    <xf numFmtId="166" fontId="13" fillId="2" borderId="0" xfId="1" applyNumberFormat="1" applyFont="1" applyFill="1" applyAlignment="1">
      <alignment vertical="center"/>
    </xf>
    <xf numFmtId="0" fontId="13" fillId="2" borderId="2" xfId="33" applyFont="1" applyFill="1" applyBorder="1" applyAlignment="1">
      <alignment horizontal="left" vertical="center" wrapText="1"/>
    </xf>
    <xf numFmtId="164" fontId="15" fillId="2" borderId="2" xfId="0" applyNumberFormat="1" applyFont="1" applyFill="1" applyBorder="1" applyAlignment="1">
      <alignment vertical="center" wrapText="1"/>
    </xf>
    <xf numFmtId="164" fontId="15" fillId="2" borderId="2" xfId="0" applyNumberFormat="1" applyFont="1" applyFill="1" applyBorder="1" applyAlignment="1">
      <alignment horizontal="center" vertical="center" wrapText="1"/>
    </xf>
    <xf numFmtId="0" fontId="15" fillId="2" borderId="0" xfId="0" applyFont="1" applyFill="1" applyAlignment="1">
      <alignment vertical="center" wrapText="1"/>
    </xf>
    <xf numFmtId="164" fontId="17" fillId="2" borderId="2" xfId="0" applyNumberFormat="1" applyFont="1" applyFill="1" applyBorder="1" applyAlignment="1">
      <alignment vertical="center" wrapText="1"/>
    </xf>
    <xf numFmtId="164" fontId="17" fillId="2" borderId="2" xfId="0" applyNumberFormat="1" applyFont="1" applyFill="1" applyBorder="1" applyAlignment="1">
      <alignment horizontal="center" vertical="center" wrapText="1"/>
    </xf>
    <xf numFmtId="164" fontId="18" fillId="2" borderId="2" xfId="0" applyNumberFormat="1" applyFont="1" applyFill="1" applyBorder="1" applyAlignment="1">
      <alignment vertical="center" wrapText="1"/>
    </xf>
    <xf numFmtId="164" fontId="18" fillId="2" borderId="2" xfId="0" applyNumberFormat="1" applyFont="1" applyFill="1" applyBorder="1" applyAlignment="1">
      <alignment horizontal="center" vertical="center" wrapText="1"/>
    </xf>
    <xf numFmtId="0" fontId="18" fillId="2" borderId="0" xfId="0" applyFont="1" applyFill="1" applyAlignment="1">
      <alignment vertical="center" wrapText="1"/>
    </xf>
    <xf numFmtId="166" fontId="13" fillId="2" borderId="2" xfId="0" applyNumberFormat="1" applyFont="1" applyFill="1" applyBorder="1" applyAlignment="1">
      <alignment horizontal="center" vertical="center"/>
    </xf>
    <xf numFmtId="3" fontId="13" fillId="2" borderId="2" xfId="0" applyNumberFormat="1" applyFont="1" applyFill="1" applyBorder="1" applyAlignment="1">
      <alignment horizontal="justify" vertical="center" wrapText="1"/>
    </xf>
    <xf numFmtId="1" fontId="3" fillId="2" borderId="2" xfId="0" applyNumberFormat="1" applyFont="1" applyFill="1" applyBorder="1" applyAlignment="1">
      <alignment horizontal="center" vertical="center"/>
    </xf>
    <xf numFmtId="3" fontId="3" fillId="2" borderId="2" xfId="0" applyNumberFormat="1" applyFont="1" applyFill="1" applyBorder="1" applyAlignment="1">
      <alignment horizontal="center" vertical="center" wrapText="1"/>
    </xf>
    <xf numFmtId="3" fontId="3" fillId="2" borderId="2" xfId="0" applyNumberFormat="1" applyFont="1" applyFill="1" applyBorder="1" applyAlignment="1">
      <alignment horizontal="right" vertical="center" wrapText="1"/>
    </xf>
    <xf numFmtId="3" fontId="2" fillId="2" borderId="2" xfId="0" applyNumberFormat="1" applyFont="1" applyFill="1" applyBorder="1" applyAlignment="1">
      <alignment horizontal="justify" vertical="center" wrapText="1"/>
    </xf>
    <xf numFmtId="1" fontId="2" fillId="2" borderId="2" xfId="0" applyNumberFormat="1" applyFont="1" applyFill="1" applyBorder="1" applyAlignment="1">
      <alignment horizontal="center" vertical="center"/>
    </xf>
    <xf numFmtId="3" fontId="2" fillId="2" borderId="2" xfId="0" applyNumberFormat="1" applyFont="1" applyFill="1" applyBorder="1" applyAlignment="1">
      <alignment horizontal="center" vertical="center" wrapText="1"/>
    </xf>
    <xf numFmtId="3" fontId="2" fillId="2" borderId="2" xfId="0" applyNumberFormat="1" applyFont="1" applyFill="1" applyBorder="1" applyAlignment="1">
      <alignment horizontal="right" vertical="center" wrapText="1"/>
    </xf>
    <xf numFmtId="3" fontId="15" fillId="2" borderId="2" xfId="56" applyNumberFormat="1" applyFont="1" applyFill="1" applyBorder="1" applyAlignment="1">
      <alignment vertical="center" wrapText="1"/>
    </xf>
    <xf numFmtId="166" fontId="15" fillId="2" borderId="0" xfId="0" applyNumberFormat="1" applyFont="1" applyFill="1" applyAlignment="1">
      <alignment vertical="center"/>
    </xf>
    <xf numFmtId="37" fontId="15" fillId="2" borderId="11" xfId="1" applyNumberFormat="1" applyFont="1" applyFill="1" applyBorder="1" applyAlignment="1">
      <alignment horizontal="center" vertical="center"/>
    </xf>
    <xf numFmtId="0" fontId="15" fillId="2" borderId="11" xfId="0" applyFont="1" applyFill="1" applyBorder="1" applyAlignment="1">
      <alignment vertical="center"/>
    </xf>
    <xf numFmtId="0" fontId="15" fillId="2" borderId="11" xfId="0" applyFont="1" applyFill="1" applyBorder="1" applyAlignment="1">
      <alignment horizontal="center" vertical="center"/>
    </xf>
    <xf numFmtId="166" fontId="15" fillId="2" borderId="11" xfId="1" applyNumberFormat="1" applyFont="1" applyFill="1" applyBorder="1" applyAlignment="1">
      <alignment horizontal="right" vertical="center"/>
    </xf>
    <xf numFmtId="166" fontId="15" fillId="2" borderId="11" xfId="1" applyNumberFormat="1" applyFont="1" applyFill="1" applyBorder="1" applyAlignment="1">
      <alignment horizontal="center" vertical="center"/>
    </xf>
    <xf numFmtId="0" fontId="15" fillId="2" borderId="5" xfId="0" applyFont="1" applyFill="1" applyBorder="1" applyAlignment="1">
      <alignment horizontal="center" vertical="center"/>
    </xf>
    <xf numFmtId="3" fontId="15" fillId="2" borderId="5" xfId="0" applyNumberFormat="1" applyFont="1" applyFill="1" applyBorder="1" applyAlignment="1">
      <alignment vertical="center"/>
    </xf>
    <xf numFmtId="0" fontId="34" fillId="2" borderId="0" xfId="0" applyFont="1" applyFill="1" applyAlignment="1">
      <alignment horizontal="center"/>
    </xf>
    <xf numFmtId="49" fontId="15" fillId="2" borderId="4" xfId="56" quotePrefix="1" applyNumberFormat="1" applyFont="1" applyFill="1" applyBorder="1" applyAlignment="1">
      <alignment horizontal="center" vertical="center" wrapText="1"/>
    </xf>
    <xf numFmtId="3" fontId="15" fillId="2" borderId="4" xfId="56" applyNumberFormat="1" applyFont="1" applyFill="1" applyBorder="1" applyAlignment="1">
      <alignment horizontal="center" vertical="center" wrapText="1"/>
    </xf>
    <xf numFmtId="3" fontId="15" fillId="2" borderId="4" xfId="56" quotePrefix="1" applyNumberFormat="1" applyFont="1" applyFill="1" applyBorder="1" applyAlignment="1">
      <alignment horizontal="center" vertical="center" wrapText="1"/>
    </xf>
    <xf numFmtId="3" fontId="15" fillId="2" borderId="4" xfId="56" quotePrefix="1" applyNumberFormat="1" applyFont="1" applyFill="1" applyBorder="1" applyAlignment="1">
      <alignment horizontal="right" vertical="center" wrapText="1"/>
    </xf>
    <xf numFmtId="0" fontId="13" fillId="2" borderId="2" xfId="58" applyFont="1" applyFill="1" applyBorder="1" applyAlignment="1">
      <alignment horizontal="left" vertical="center" wrapText="1"/>
    </xf>
    <xf numFmtId="0" fontId="13" fillId="2" borderId="2" xfId="58" applyFont="1" applyFill="1" applyBorder="1" applyAlignment="1">
      <alignment horizontal="center" vertical="center" wrapText="1"/>
    </xf>
    <xf numFmtId="166" fontId="15" fillId="2" borderId="2" xfId="5" applyNumberFormat="1" applyFont="1" applyFill="1" applyBorder="1" applyAlignment="1">
      <alignment horizontal="justify" vertical="center" wrapText="1"/>
    </xf>
    <xf numFmtId="166" fontId="15" fillId="2" borderId="2" xfId="5" applyNumberFormat="1" applyFont="1" applyFill="1" applyBorder="1" applyAlignment="1">
      <alignment horizontal="center" vertical="center" wrapText="1"/>
    </xf>
    <xf numFmtId="49" fontId="15" fillId="2" borderId="5" xfId="56" quotePrefix="1" applyNumberFormat="1" applyFont="1" applyFill="1" applyBorder="1" applyAlignment="1">
      <alignment horizontal="center" vertical="center"/>
    </xf>
    <xf numFmtId="0" fontId="13" fillId="2" borderId="5" xfId="0" applyFont="1" applyFill="1" applyBorder="1" applyAlignment="1">
      <alignment horizontal="left" vertical="center" wrapText="1"/>
    </xf>
    <xf numFmtId="167" fontId="13" fillId="2" borderId="5" xfId="56" applyNumberFormat="1" applyFont="1" applyFill="1" applyBorder="1" applyAlignment="1">
      <alignment horizontal="center" vertical="center" wrapText="1"/>
    </xf>
    <xf numFmtId="0" fontId="13" fillId="2" borderId="5" xfId="34" applyFont="1" applyFill="1" applyBorder="1" applyAlignment="1">
      <alignment horizontal="center" vertical="center" wrapText="1"/>
    </xf>
    <xf numFmtId="3" fontId="13" fillId="2" borderId="5" xfId="56" applyNumberFormat="1" applyFont="1" applyFill="1" applyBorder="1" applyAlignment="1">
      <alignment horizontal="right" vertical="center"/>
    </xf>
    <xf numFmtId="164" fontId="13" fillId="2" borderId="5" xfId="14" applyNumberFormat="1" applyFont="1" applyFill="1" applyBorder="1" applyAlignment="1">
      <alignment horizontal="center" vertical="center" wrapText="1"/>
    </xf>
    <xf numFmtId="3" fontId="13" fillId="2" borderId="0" xfId="0" applyNumberFormat="1" applyFont="1" applyFill="1" applyAlignment="1">
      <alignment vertical="center"/>
    </xf>
    <xf numFmtId="0" fontId="15" fillId="2" borderId="5" xfId="0" applyFont="1" applyFill="1" applyBorder="1" applyAlignment="1">
      <alignment vertical="center"/>
    </xf>
    <xf numFmtId="166" fontId="15" fillId="2" borderId="5" xfId="1" applyNumberFormat="1" applyFont="1" applyFill="1" applyBorder="1" applyAlignment="1">
      <alignment vertical="center"/>
    </xf>
    <xf numFmtId="0" fontId="15" fillId="2" borderId="11" xfId="28" applyFont="1" applyFill="1" applyBorder="1" applyAlignment="1">
      <alignment vertical="center" wrapText="1"/>
    </xf>
    <xf numFmtId="0" fontId="15" fillId="2" borderId="11" xfId="0" applyFont="1" applyFill="1" applyBorder="1" applyAlignment="1">
      <alignment horizontal="center"/>
    </xf>
    <xf numFmtId="0" fontId="15" fillId="2" borderId="11" xfId="0" applyFont="1" applyFill="1" applyBorder="1"/>
    <xf numFmtId="3" fontId="15" fillId="2" borderId="11" xfId="0" applyNumberFormat="1" applyFont="1" applyFill="1" applyBorder="1" applyAlignment="1">
      <alignment vertical="center"/>
    </xf>
    <xf numFmtId="0" fontId="15" fillId="2" borderId="11" xfId="0" applyFont="1" applyFill="1" applyBorder="1" applyAlignment="1">
      <alignment horizontal="left"/>
    </xf>
    <xf numFmtId="0" fontId="15" fillId="2" borderId="0" xfId="28" applyFont="1" applyFill="1" applyAlignment="1">
      <alignment vertical="center"/>
    </xf>
    <xf numFmtId="3" fontId="13" fillId="5" borderId="2" xfId="22" applyNumberFormat="1" applyFont="1" applyFill="1" applyBorder="1" applyAlignment="1">
      <alignment horizontal="right" vertical="center" wrapText="1"/>
    </xf>
    <xf numFmtId="3" fontId="13" fillId="5" borderId="2" xfId="56" applyNumberFormat="1" applyFont="1" applyFill="1" applyBorder="1" applyAlignment="1">
      <alignment horizontal="right" vertical="center"/>
    </xf>
    <xf numFmtId="0" fontId="13" fillId="5" borderId="2" xfId="0" applyFont="1" applyFill="1" applyBorder="1" applyAlignment="1">
      <alignment horizontal="justify" vertical="center" wrapText="1"/>
    </xf>
    <xf numFmtId="49" fontId="13" fillId="5" borderId="2" xfId="56" quotePrefix="1" applyNumberFormat="1" applyFont="1" applyFill="1" applyBorder="1" applyAlignment="1">
      <alignment horizontal="center" vertical="center"/>
    </xf>
    <xf numFmtId="1" fontId="13" fillId="5" borderId="2" xfId="56" applyNumberFormat="1" applyFont="1" applyFill="1" applyBorder="1" applyAlignment="1">
      <alignment horizontal="left" vertical="center" wrapText="1"/>
    </xf>
    <xf numFmtId="0" fontId="13" fillId="5" borderId="2" xfId="0" applyFont="1" applyFill="1" applyBorder="1" applyAlignment="1">
      <alignment horizontal="center" vertical="center" wrapText="1"/>
    </xf>
    <xf numFmtId="49" fontId="13" fillId="5" borderId="2" xfId="4" applyNumberFormat="1" applyFont="1" applyFill="1" applyBorder="1" applyAlignment="1">
      <alignment horizontal="center" vertical="center" wrapText="1"/>
    </xf>
    <xf numFmtId="3" fontId="15" fillId="5" borderId="2" xfId="56" applyNumberFormat="1" applyFont="1" applyFill="1" applyBorder="1" applyAlignment="1">
      <alignment horizontal="center" vertical="center" wrapText="1"/>
    </xf>
    <xf numFmtId="1" fontId="13" fillId="5" borderId="2" xfId="57" applyNumberFormat="1" applyFont="1" applyFill="1" applyBorder="1" applyAlignment="1">
      <alignment horizontal="center" vertical="center" wrapText="1"/>
    </xf>
    <xf numFmtId="3" fontId="13" fillId="5" borderId="2" xfId="4" applyNumberFormat="1" applyFont="1" applyFill="1" applyBorder="1" applyAlignment="1">
      <alignment horizontal="right" vertical="center" wrapText="1"/>
    </xf>
    <xf numFmtId="3" fontId="13" fillId="5" borderId="2" xfId="4" applyNumberFormat="1" applyFont="1" applyFill="1" applyBorder="1" applyAlignment="1">
      <alignment horizontal="center" vertical="center" wrapText="1"/>
    </xf>
    <xf numFmtId="3" fontId="13" fillId="5" borderId="2" xfId="56" applyNumberFormat="1" applyFont="1" applyFill="1" applyBorder="1" applyAlignment="1">
      <alignment horizontal="center" vertical="center" wrapText="1"/>
    </xf>
    <xf numFmtId="1" fontId="13" fillId="5" borderId="2" xfId="56" applyNumberFormat="1" applyFont="1" applyFill="1" applyBorder="1" applyAlignment="1">
      <alignment horizontal="center" vertical="center" wrapText="1"/>
    </xf>
    <xf numFmtId="3" fontId="15" fillId="2" borderId="3" xfId="56" applyNumberFormat="1" applyFont="1" applyFill="1" applyBorder="1" applyAlignment="1">
      <alignment horizontal="center" vertical="center" wrapText="1"/>
    </xf>
    <xf numFmtId="3" fontId="15" fillId="2" borderId="1" xfId="56" applyNumberFormat="1" applyFont="1" applyFill="1" applyBorder="1" applyAlignment="1">
      <alignment horizontal="center" vertical="center" wrapText="1"/>
    </xf>
    <xf numFmtId="3" fontId="15" fillId="2" borderId="1" xfId="0" applyNumberFormat="1" applyFont="1" applyFill="1" applyBorder="1" applyAlignment="1">
      <alignment horizontal="center" vertical="center" wrapText="1"/>
    </xf>
    <xf numFmtId="166" fontId="15" fillId="2" borderId="1" xfId="1" applyNumberFormat="1" applyFont="1" applyFill="1" applyBorder="1" applyAlignment="1">
      <alignment horizontal="center" vertical="center" wrapText="1"/>
    </xf>
    <xf numFmtId="0" fontId="13" fillId="0" borderId="0" xfId="0" applyFont="1" applyAlignment="1">
      <alignment vertical="center"/>
    </xf>
    <xf numFmtId="166" fontId="15" fillId="2" borderId="1" xfId="1" applyNumberFormat="1" applyFont="1" applyFill="1" applyBorder="1" applyAlignment="1">
      <alignment horizontal="center" vertical="center"/>
    </xf>
    <xf numFmtId="41" fontId="15" fillId="2" borderId="4" xfId="1" applyNumberFormat="1" applyFont="1" applyFill="1" applyBorder="1" applyAlignment="1">
      <alignment horizontal="right" vertical="center" wrapText="1"/>
    </xf>
    <xf numFmtId="41" fontId="15" fillId="2" borderId="2" xfId="0" applyNumberFormat="1" applyFont="1" applyFill="1" applyBorder="1" applyAlignment="1">
      <alignment horizontal="right" vertical="center" wrapText="1"/>
    </xf>
    <xf numFmtId="41" fontId="15" fillId="2" borderId="2" xfId="1" applyNumberFormat="1" applyFont="1" applyFill="1" applyBorder="1" applyAlignment="1">
      <alignment horizontal="right" vertical="center" wrapText="1"/>
    </xf>
    <xf numFmtId="41" fontId="13" fillId="2" borderId="2" xfId="22" applyNumberFormat="1" applyFont="1" applyFill="1" applyBorder="1" applyAlignment="1">
      <alignment horizontal="right" vertical="center" wrapText="1"/>
    </xf>
    <xf numFmtId="41" fontId="13" fillId="3" borderId="2" xfId="0" applyNumberFormat="1" applyFont="1" applyFill="1" applyBorder="1" applyAlignment="1">
      <alignment horizontal="right" vertical="center" wrapText="1"/>
    </xf>
    <xf numFmtId="41" fontId="15" fillId="2" borderId="2" xfId="22" applyNumberFormat="1" applyFont="1" applyFill="1" applyBorder="1" applyAlignment="1">
      <alignment horizontal="right" vertical="center" wrapText="1"/>
    </xf>
    <xf numFmtId="41" fontId="13" fillId="2" borderId="2" xfId="0" applyNumberFormat="1" applyFont="1" applyFill="1" applyBorder="1" applyAlignment="1">
      <alignment horizontal="right" vertical="center" wrapText="1"/>
    </xf>
    <xf numFmtId="41" fontId="13" fillId="2" borderId="2" xfId="68" applyNumberFormat="1" applyFont="1" applyFill="1" applyBorder="1" applyAlignment="1">
      <alignment horizontal="right" vertical="center" wrapText="1"/>
    </xf>
    <xf numFmtId="41" fontId="13" fillId="2" borderId="2" xfId="0" applyNumberFormat="1" applyFont="1" applyFill="1" applyBorder="1" applyAlignment="1">
      <alignment horizontal="right" vertical="center"/>
    </xf>
    <xf numFmtId="41" fontId="15" fillId="2" borderId="2" xfId="68" applyNumberFormat="1" applyFont="1" applyFill="1" applyBorder="1" applyAlignment="1">
      <alignment horizontal="right" vertical="center" wrapText="1"/>
    </xf>
    <xf numFmtId="41" fontId="13" fillId="0" borderId="2" xfId="22" applyNumberFormat="1" applyFont="1" applyFill="1" applyBorder="1" applyAlignment="1">
      <alignment horizontal="right" vertical="center" wrapText="1"/>
    </xf>
    <xf numFmtId="41" fontId="15" fillId="0" borderId="2" xfId="22" applyNumberFormat="1" applyFont="1" applyFill="1" applyBorder="1" applyAlignment="1">
      <alignment horizontal="right" vertical="center" wrapText="1"/>
    </xf>
    <xf numFmtId="41" fontId="13" fillId="0" borderId="2" xfId="0" applyNumberFormat="1" applyFont="1" applyBorder="1" applyAlignment="1">
      <alignment horizontal="right" vertical="center"/>
    </xf>
    <xf numFmtId="41" fontId="18" fillId="0" borderId="2" xfId="10" applyNumberFormat="1" applyFont="1" applyFill="1" applyBorder="1" applyAlignment="1">
      <alignment horizontal="right" vertical="center" wrapText="1"/>
    </xf>
    <xf numFmtId="41" fontId="15" fillId="0" borderId="2" xfId="0" applyNumberFormat="1" applyFont="1" applyBorder="1" applyAlignment="1">
      <alignment horizontal="right" vertical="center"/>
    </xf>
    <xf numFmtId="41" fontId="13" fillId="2" borderId="2" xfId="16" applyNumberFormat="1" applyFont="1" applyFill="1" applyBorder="1" applyAlignment="1" applyProtection="1">
      <alignment horizontal="right" vertical="center" wrapText="1"/>
    </xf>
    <xf numFmtId="41" fontId="13" fillId="0" borderId="2" xfId="16" applyNumberFormat="1" applyFont="1" applyFill="1" applyBorder="1" applyAlignment="1" applyProtection="1">
      <alignment horizontal="right" vertical="center" wrapText="1"/>
    </xf>
    <xf numFmtId="41" fontId="13" fillId="2" borderId="2" xfId="1" applyNumberFormat="1" applyFont="1" applyFill="1" applyBorder="1" applyAlignment="1">
      <alignment horizontal="right" vertical="center" wrapText="1"/>
    </xf>
    <xf numFmtId="41" fontId="13" fillId="2" borderId="2" xfId="1" applyNumberFormat="1" applyFont="1" applyFill="1" applyBorder="1" applyAlignment="1">
      <alignment horizontal="right" vertical="center"/>
    </xf>
    <xf numFmtId="41" fontId="15" fillId="2" borderId="2" xfId="1" applyNumberFormat="1" applyFont="1" applyFill="1" applyBorder="1" applyAlignment="1">
      <alignment horizontal="right" vertical="center"/>
    </xf>
    <xf numFmtId="0" fontId="15" fillId="2" borderId="4" xfId="0" applyFont="1" applyFill="1" applyBorder="1" applyAlignment="1">
      <alignment horizontal="center" vertical="center" wrapText="1"/>
    </xf>
    <xf numFmtId="41" fontId="15" fillId="2" borderId="4" xfId="0" applyNumberFormat="1" applyFont="1" applyFill="1" applyBorder="1" applyAlignment="1">
      <alignment horizontal="center" vertical="center" wrapText="1"/>
    </xf>
    <xf numFmtId="41" fontId="13" fillId="2" borderId="0" xfId="0" applyNumberFormat="1" applyFont="1" applyFill="1"/>
    <xf numFmtId="41" fontId="15" fillId="2" borderId="2" xfId="0" applyNumberFormat="1" applyFont="1" applyFill="1" applyBorder="1" applyAlignment="1">
      <alignment horizontal="center" vertical="center" wrapText="1"/>
    </xf>
    <xf numFmtId="0" fontId="13" fillId="0" borderId="2" xfId="0" applyFont="1" applyBorder="1" applyAlignment="1">
      <alignment horizontal="left" vertical="center" wrapText="1"/>
    </xf>
    <xf numFmtId="0" fontId="13" fillId="2" borderId="2" xfId="57" applyFont="1" applyFill="1" applyBorder="1" applyAlignment="1">
      <alignment horizontal="center" vertical="center" wrapText="1"/>
    </xf>
    <xf numFmtId="41" fontId="36" fillId="2" borderId="2" xfId="0" applyNumberFormat="1" applyFont="1" applyFill="1" applyBorder="1" applyAlignment="1">
      <alignment horizontal="center" vertical="center" wrapText="1"/>
    </xf>
    <xf numFmtId="0" fontId="13" fillId="0" borderId="2" xfId="0" applyFont="1" applyBorder="1" applyAlignment="1">
      <alignment vertical="center" wrapText="1"/>
    </xf>
    <xf numFmtId="0" fontId="15" fillId="0" borderId="2" xfId="0" applyFont="1" applyBorder="1" applyAlignment="1">
      <alignment vertical="center" wrapText="1"/>
    </xf>
    <xf numFmtId="3" fontId="15" fillId="2" borderId="2" xfId="57" applyNumberFormat="1" applyFont="1" applyFill="1" applyBorder="1" applyAlignment="1">
      <alignment horizontal="center" vertical="center" wrapText="1"/>
    </xf>
    <xf numFmtId="41" fontId="13" fillId="2" borderId="2" xfId="0" applyNumberFormat="1" applyFont="1" applyFill="1" applyBorder="1" applyAlignment="1">
      <alignment horizontal="center" vertical="center" wrapText="1"/>
    </xf>
    <xf numFmtId="0" fontId="35" fillId="2" borderId="2" xfId="0" applyFont="1" applyFill="1" applyBorder="1" applyAlignment="1">
      <alignment horizontal="center" vertical="center" wrapText="1"/>
    </xf>
    <xf numFmtId="0" fontId="35" fillId="2" borderId="2" xfId="0" applyFont="1" applyFill="1" applyBorder="1" applyAlignment="1">
      <alignment horizontal="left" vertical="center" wrapText="1"/>
    </xf>
    <xf numFmtId="3" fontId="35" fillId="2" borderId="2" xfId="0" applyNumberFormat="1" applyFont="1" applyFill="1" applyBorder="1" applyAlignment="1">
      <alignment horizontal="center" vertical="center" wrapText="1"/>
    </xf>
    <xf numFmtId="41" fontId="35" fillId="2" borderId="2" xfId="0" applyNumberFormat="1" applyFont="1" applyFill="1" applyBorder="1" applyAlignment="1">
      <alignment horizontal="center" vertical="center" wrapText="1"/>
    </xf>
    <xf numFmtId="41" fontId="35" fillId="2" borderId="2" xfId="68" applyNumberFormat="1" applyFont="1" applyFill="1" applyBorder="1" applyAlignment="1">
      <alignment horizontal="right" vertical="center" wrapText="1"/>
    </xf>
    <xf numFmtId="41" fontId="35" fillId="2" borderId="2" xfId="0" applyNumberFormat="1" applyFont="1" applyFill="1" applyBorder="1" applyAlignment="1">
      <alignment horizontal="right" vertical="center"/>
    </xf>
    <xf numFmtId="0" fontId="35" fillId="2" borderId="2" xfId="63" applyFont="1" applyFill="1" applyBorder="1" applyAlignment="1">
      <alignment horizontal="center" vertical="center" wrapText="1"/>
    </xf>
    <xf numFmtId="0" fontId="68" fillId="2" borderId="0" xfId="0" applyFont="1" applyFill="1" applyAlignment="1">
      <alignment vertical="center"/>
    </xf>
    <xf numFmtId="41" fontId="13" fillId="0" borderId="2" xfId="0" applyNumberFormat="1" applyFont="1" applyBorder="1" applyAlignment="1">
      <alignment horizontal="center" vertical="center" wrapText="1"/>
    </xf>
    <xf numFmtId="41" fontId="15" fillId="0" borderId="2" xfId="0" applyNumberFormat="1" applyFont="1" applyBorder="1" applyAlignment="1">
      <alignment horizontal="center" vertical="center" wrapText="1"/>
    </xf>
    <xf numFmtId="0" fontId="13" fillId="0" borderId="2" xfId="30" applyFont="1" applyBorder="1" applyAlignment="1">
      <alignment vertical="center" wrapText="1"/>
    </xf>
    <xf numFmtId="0" fontId="13" fillId="0" borderId="2" xfId="0" applyFont="1" applyBorder="1" applyAlignment="1">
      <alignment vertical="center"/>
    </xf>
    <xf numFmtId="0" fontId="13" fillId="0" borderId="2" xfId="30" applyFont="1" applyBorder="1" applyAlignment="1">
      <alignment horizontal="center" vertical="center" wrapText="1"/>
    </xf>
    <xf numFmtId="41" fontId="13" fillId="0" borderId="2" xfId="30" applyNumberFormat="1" applyFont="1" applyBorder="1" applyAlignment="1">
      <alignment horizontal="center" vertical="center" wrapText="1"/>
    </xf>
    <xf numFmtId="0" fontId="15" fillId="0" borderId="2" xfId="30" applyFont="1" applyBorder="1" applyAlignment="1">
      <alignment vertical="center" wrapText="1"/>
    </xf>
    <xf numFmtId="0" fontId="15" fillId="0" borderId="2" xfId="30" applyFont="1" applyBorder="1" applyAlignment="1">
      <alignment horizontal="center" vertical="center" wrapText="1"/>
    </xf>
    <xf numFmtId="41" fontId="15" fillId="0" borderId="2" xfId="30" applyNumberFormat="1" applyFont="1" applyBorder="1" applyAlignment="1">
      <alignment horizontal="center" vertical="center" wrapText="1"/>
    </xf>
    <xf numFmtId="0" fontId="13" fillId="2" borderId="2" xfId="57" quotePrefix="1" applyFont="1" applyFill="1" applyBorder="1" applyAlignment="1">
      <alignment horizontal="center" vertical="center" wrapText="1"/>
    </xf>
    <xf numFmtId="0" fontId="13" fillId="0" borderId="2" xfId="0" quotePrefix="1" applyFont="1" applyBorder="1" applyAlignment="1">
      <alignment vertical="center" wrapText="1"/>
    </xf>
    <xf numFmtId="0" fontId="13" fillId="0" borderId="2" xfId="57" quotePrefix="1" applyFont="1" applyBorder="1" applyAlignment="1">
      <alignment horizontal="center" vertical="center" wrapText="1"/>
    </xf>
    <xf numFmtId="0" fontId="13" fillId="2" borderId="2" xfId="63" applyFont="1" applyFill="1" applyBorder="1" applyAlignment="1">
      <alignment horizontal="left" vertical="center" wrapText="1"/>
    </xf>
    <xf numFmtId="41" fontId="13" fillId="2" borderId="2" xfId="8" applyNumberFormat="1" applyFont="1" applyFill="1" applyBorder="1" applyAlignment="1">
      <alignment horizontal="center" vertical="center" wrapText="1"/>
    </xf>
    <xf numFmtId="0" fontId="13" fillId="2" borderId="2" xfId="44" applyFont="1" applyFill="1" applyBorder="1" applyAlignment="1">
      <alignment horizontal="left" vertical="center" wrapText="1"/>
    </xf>
    <xf numFmtId="0" fontId="13" fillId="2" borderId="2" xfId="44" applyFont="1" applyFill="1" applyBorder="1" applyAlignment="1">
      <alignment horizontal="justify" vertical="center" wrapText="1"/>
    </xf>
    <xf numFmtId="0" fontId="13" fillId="2" borderId="2" xfId="44" applyFont="1" applyFill="1" applyBorder="1" applyAlignment="1">
      <alignment horizontal="center" vertical="center" wrapText="1"/>
    </xf>
    <xf numFmtId="3" fontId="13" fillId="2" borderId="2" xfId="57" applyNumberFormat="1" applyFont="1" applyFill="1" applyBorder="1" applyAlignment="1">
      <alignment horizontal="center" vertical="center" wrapText="1"/>
    </xf>
    <xf numFmtId="41" fontId="13" fillId="2" borderId="2" xfId="57" applyNumberFormat="1" applyFont="1" applyFill="1" applyBorder="1" applyAlignment="1">
      <alignment horizontal="center" vertical="center" wrapText="1"/>
    </xf>
    <xf numFmtId="41" fontId="13" fillId="2" borderId="2" xfId="57" applyNumberFormat="1" applyFont="1" applyFill="1" applyBorder="1" applyAlignment="1">
      <alignment horizontal="right" vertical="center" wrapText="1"/>
    </xf>
    <xf numFmtId="0" fontId="13" fillId="0" borderId="2" xfId="44" applyFont="1" applyBorder="1" applyAlignment="1">
      <alignment horizontal="left" vertical="center" wrapText="1"/>
    </xf>
    <xf numFmtId="0" fontId="13" fillId="0" borderId="2" xfId="44" applyFont="1" applyBorder="1" applyAlignment="1">
      <alignment horizontal="justify" vertical="center" wrapText="1"/>
    </xf>
    <xf numFmtId="0" fontId="13" fillId="0" borderId="2" xfId="44" applyFont="1" applyBorder="1" applyAlignment="1">
      <alignment horizontal="center" vertical="center" wrapText="1"/>
    </xf>
    <xf numFmtId="3" fontId="69" fillId="0" borderId="2" xfId="57" applyNumberFormat="1" applyFont="1" applyBorder="1" applyAlignment="1">
      <alignment horizontal="center" vertical="center" wrapText="1"/>
    </xf>
    <xf numFmtId="41" fontId="69" fillId="0" borderId="2" xfId="57" applyNumberFormat="1" applyFont="1" applyBorder="1" applyAlignment="1">
      <alignment horizontal="center" vertical="center" wrapText="1"/>
    </xf>
    <xf numFmtId="41" fontId="13" fillId="0" borderId="2" xfId="57" applyNumberFormat="1" applyFont="1" applyBorder="1" applyAlignment="1">
      <alignment horizontal="right" vertical="center" wrapText="1"/>
    </xf>
    <xf numFmtId="41" fontId="13" fillId="0" borderId="2" xfId="1" applyNumberFormat="1" applyFont="1" applyFill="1" applyBorder="1" applyAlignment="1">
      <alignment horizontal="right" vertical="center" wrapText="1"/>
    </xf>
    <xf numFmtId="41" fontId="13" fillId="0" borderId="2" xfId="1" applyNumberFormat="1" applyFont="1" applyFill="1" applyBorder="1" applyAlignment="1">
      <alignment horizontal="right" vertical="center"/>
    </xf>
    <xf numFmtId="0" fontId="15" fillId="2" borderId="2" xfId="44" applyFont="1" applyFill="1" applyBorder="1" applyAlignment="1">
      <alignment horizontal="left" vertical="center" wrapText="1"/>
    </xf>
    <xf numFmtId="0" fontId="15" fillId="2" borderId="2" xfId="44" applyFont="1" applyFill="1" applyBorder="1" applyAlignment="1">
      <alignment horizontal="justify" vertical="center" wrapText="1"/>
    </xf>
    <xf numFmtId="0" fontId="15" fillId="2" borderId="2" xfId="44" applyFont="1" applyFill="1" applyBorder="1" applyAlignment="1">
      <alignment horizontal="center" vertical="center" wrapText="1"/>
    </xf>
    <xf numFmtId="41" fontId="15" fillId="2" borderId="2" xfId="57" applyNumberFormat="1" applyFont="1" applyFill="1" applyBorder="1" applyAlignment="1">
      <alignment horizontal="center" vertical="center" wrapText="1"/>
    </xf>
    <xf numFmtId="41" fontId="15" fillId="2" borderId="2" xfId="57" applyNumberFormat="1" applyFont="1" applyFill="1" applyBorder="1" applyAlignment="1">
      <alignment horizontal="right" vertical="center" wrapText="1"/>
    </xf>
    <xf numFmtId="41" fontId="13" fillId="0" borderId="2" xfId="57" applyNumberFormat="1" applyFont="1" applyBorder="1" applyAlignment="1">
      <alignment horizontal="right" vertical="center"/>
    </xf>
    <xf numFmtId="0" fontId="13" fillId="0" borderId="2" xfId="0" quotePrefix="1" applyFont="1" applyBorder="1" applyAlignment="1">
      <alignment horizontal="center" vertical="center" wrapText="1"/>
    </xf>
    <xf numFmtId="0" fontId="15" fillId="4" borderId="2" xfId="0" applyFont="1" applyFill="1" applyBorder="1" applyAlignment="1">
      <alignment horizontal="center" vertical="center" wrapText="1"/>
    </xf>
    <xf numFmtId="0" fontId="15" fillId="0" borderId="2" xfId="0" quotePrefix="1" applyFont="1" applyBorder="1" applyAlignment="1">
      <alignment horizontal="center" vertical="center" wrapText="1"/>
    </xf>
    <xf numFmtId="0" fontId="35" fillId="0" borderId="0" xfId="0" applyFont="1" applyAlignment="1">
      <alignment wrapText="1"/>
    </xf>
    <xf numFmtId="0" fontId="35" fillId="0" borderId="0" xfId="0" applyFont="1" applyAlignment="1">
      <alignment vertical="center" wrapText="1"/>
    </xf>
    <xf numFmtId="3" fontId="29" fillId="0" borderId="0" xfId="0" applyNumberFormat="1" applyFont="1" applyAlignment="1">
      <alignment vertical="center"/>
    </xf>
    <xf numFmtId="3" fontId="29" fillId="0" borderId="0" xfId="28" applyNumberFormat="1" applyFont="1" applyAlignment="1">
      <alignment vertical="center"/>
    </xf>
    <xf numFmtId="0" fontId="15" fillId="6" borderId="2" xfId="0" applyFont="1" applyFill="1" applyBorder="1" applyAlignment="1">
      <alignment horizontal="center" vertical="center"/>
    </xf>
    <xf numFmtId="0" fontId="15" fillId="6" borderId="2" xfId="0" applyFont="1" applyFill="1" applyBorder="1" applyAlignment="1">
      <alignment horizontal="justify" vertical="center" wrapText="1"/>
    </xf>
    <xf numFmtId="0" fontId="15" fillId="6" borderId="2" xfId="0" applyFont="1" applyFill="1" applyBorder="1" applyAlignment="1">
      <alignment horizontal="center" vertical="center" wrapText="1"/>
    </xf>
    <xf numFmtId="0" fontId="13" fillId="6" borderId="2" xfId="0" applyFont="1" applyFill="1" applyBorder="1"/>
    <xf numFmtId="0" fontId="13" fillId="6" borderId="2" xfId="0" applyFont="1" applyFill="1" applyBorder="1" applyAlignment="1">
      <alignment horizontal="center"/>
    </xf>
    <xf numFmtId="3" fontId="15" fillId="6" borderId="2" xfId="0" applyNumberFormat="1" applyFont="1" applyFill="1" applyBorder="1" applyAlignment="1">
      <alignment vertical="center"/>
    </xf>
    <xf numFmtId="3" fontId="15" fillId="6" borderId="2" xfId="0" applyNumberFormat="1" applyFont="1" applyFill="1" applyBorder="1" applyAlignment="1">
      <alignment horizontal="center" vertical="center"/>
    </xf>
    <xf numFmtId="3" fontId="13" fillId="6" borderId="0" xfId="0" applyNumberFormat="1" applyFont="1" applyFill="1" applyAlignment="1">
      <alignment horizontal="center" vertical="center"/>
    </xf>
    <xf numFmtId="0" fontId="13" fillId="6" borderId="0" xfId="0" applyFont="1" applyFill="1"/>
    <xf numFmtId="0" fontId="13" fillId="6" borderId="2" xfId="0" applyFont="1" applyFill="1" applyBorder="1" applyAlignment="1">
      <alignment horizontal="center" vertical="center" wrapText="1"/>
    </xf>
    <xf numFmtId="49" fontId="17" fillId="6" borderId="2" xfId="56" applyNumberFormat="1" applyFont="1" applyFill="1" applyBorder="1" applyAlignment="1">
      <alignment horizontal="center" vertical="center"/>
    </xf>
    <xf numFmtId="0" fontId="17" fillId="6" borderId="2" xfId="0" applyFont="1" applyFill="1" applyBorder="1" applyAlignment="1">
      <alignment horizontal="justify" vertical="center" wrapText="1"/>
    </xf>
    <xf numFmtId="0" fontId="18" fillId="6" borderId="2" xfId="0" applyFont="1" applyFill="1" applyBorder="1" applyAlignment="1">
      <alignment horizontal="center"/>
    </xf>
    <xf numFmtId="0" fontId="18" fillId="6" borderId="2" xfId="0" applyFont="1" applyFill="1" applyBorder="1"/>
    <xf numFmtId="3" fontId="17" fillId="6" borderId="2" xfId="0" applyNumberFormat="1" applyFont="1" applyFill="1" applyBorder="1" applyAlignment="1">
      <alignment vertical="center"/>
    </xf>
    <xf numFmtId="3" fontId="17" fillId="6" borderId="2" xfId="0" applyNumberFormat="1" applyFont="1" applyFill="1" applyBorder="1" applyAlignment="1">
      <alignment horizontal="center" vertical="center"/>
    </xf>
    <xf numFmtId="0" fontId="18" fillId="6" borderId="0" xfId="0" applyFont="1" applyFill="1"/>
    <xf numFmtId="49" fontId="18" fillId="6" borderId="2" xfId="56" applyNumberFormat="1" applyFont="1" applyFill="1" applyBorder="1" applyAlignment="1">
      <alignment horizontal="center" vertical="center"/>
    </xf>
    <xf numFmtId="0" fontId="18" fillId="6" borderId="2" xfId="0" applyFont="1" applyFill="1" applyBorder="1" applyAlignment="1">
      <alignment horizontal="justify" vertical="center" wrapText="1"/>
    </xf>
    <xf numFmtId="3" fontId="18" fillId="6" borderId="2" xfId="0" applyNumberFormat="1" applyFont="1" applyFill="1" applyBorder="1" applyAlignment="1">
      <alignment vertical="center"/>
    </xf>
    <xf numFmtId="3" fontId="18" fillId="6" borderId="2" xfId="0" applyNumberFormat="1" applyFont="1" applyFill="1" applyBorder="1" applyAlignment="1">
      <alignment horizontal="center" vertical="center"/>
    </xf>
    <xf numFmtId="49" fontId="18" fillId="6" borderId="2" xfId="56" quotePrefix="1" applyNumberFormat="1" applyFont="1" applyFill="1" applyBorder="1" applyAlignment="1">
      <alignment horizontal="center" vertical="center"/>
    </xf>
    <xf numFmtId="0" fontId="13" fillId="6" borderId="2" xfId="0" applyFont="1" applyFill="1" applyBorder="1" applyAlignment="1">
      <alignment horizontal="left" vertical="center" wrapText="1"/>
    </xf>
    <xf numFmtId="0" fontId="13" fillId="6" borderId="2" xfId="34" applyFont="1" applyFill="1" applyBorder="1" applyAlignment="1">
      <alignment horizontal="center" vertical="center"/>
    </xf>
    <xf numFmtId="0" fontId="13" fillId="6" borderId="2" xfId="0" quotePrefix="1" applyFont="1" applyFill="1" applyBorder="1" applyAlignment="1">
      <alignment horizontal="center" vertical="center"/>
    </xf>
    <xf numFmtId="0" fontId="13" fillId="6" borderId="2" xfId="0" applyFont="1" applyFill="1" applyBorder="1" applyAlignment="1">
      <alignment horizontal="center" vertical="center"/>
    </xf>
    <xf numFmtId="3" fontId="13" fillId="6" borderId="2" xfId="0" applyNumberFormat="1" applyFont="1" applyFill="1" applyBorder="1" applyAlignment="1">
      <alignment horizontal="right" vertical="center"/>
    </xf>
    <xf numFmtId="3" fontId="13" fillId="6" borderId="2" xfId="0" applyNumberFormat="1" applyFont="1" applyFill="1" applyBorder="1" applyAlignment="1">
      <alignment vertical="center"/>
    </xf>
    <xf numFmtId="3" fontId="13" fillId="6" borderId="2" xfId="14" applyNumberFormat="1" applyFont="1" applyFill="1" applyBorder="1" applyAlignment="1">
      <alignment vertical="center" wrapText="1"/>
    </xf>
    <xf numFmtId="3" fontId="13" fillId="6" borderId="2" xfId="0" applyNumberFormat="1" applyFont="1" applyFill="1" applyBorder="1" applyAlignment="1">
      <alignment horizontal="center" vertical="center" wrapText="1"/>
    </xf>
    <xf numFmtId="0" fontId="13" fillId="6" borderId="0" xfId="0" applyFont="1" applyFill="1" applyAlignment="1">
      <alignment horizontal="center" vertical="center"/>
    </xf>
    <xf numFmtId="0" fontId="18" fillId="6" borderId="2" xfId="41" applyFont="1" applyFill="1" applyBorder="1" applyAlignment="1">
      <alignment horizontal="justify" vertical="center" wrapText="1"/>
    </xf>
    <xf numFmtId="1" fontId="13" fillId="6" borderId="2" xfId="56" quotePrefix="1" applyNumberFormat="1" applyFont="1" applyFill="1" applyBorder="1" applyAlignment="1">
      <alignment horizontal="center" vertical="center" wrapText="1"/>
    </xf>
    <xf numFmtId="3" fontId="13" fillId="6" borderId="2" xfId="26" applyNumberFormat="1" applyFont="1" applyFill="1" applyBorder="1" applyAlignment="1">
      <alignment horizontal="center" vertical="center" wrapText="1"/>
    </xf>
    <xf numFmtId="3" fontId="13" fillId="6" borderId="2" xfId="56" applyNumberFormat="1" applyFont="1" applyFill="1" applyBorder="1" applyAlignment="1">
      <alignment horizontal="right" vertical="center"/>
    </xf>
    <xf numFmtId="3" fontId="13" fillId="6" borderId="2" xfId="14" applyNumberFormat="1" applyFont="1" applyFill="1" applyBorder="1" applyAlignment="1">
      <alignment horizontal="center" vertical="center" wrapText="1"/>
    </xf>
    <xf numFmtId="0" fontId="13" fillId="6" borderId="2" xfId="0" quotePrefix="1" applyFont="1" applyFill="1" applyBorder="1" applyAlignment="1">
      <alignment horizontal="center" vertical="center" wrapText="1"/>
    </xf>
    <xf numFmtId="0" fontId="13" fillId="6" borderId="2" xfId="1" applyNumberFormat="1" applyFont="1" applyFill="1" applyBorder="1" applyAlignment="1">
      <alignment horizontal="center" vertical="center" wrapText="1"/>
    </xf>
    <xf numFmtId="3" fontId="18" fillId="6" borderId="2" xfId="56" quotePrefix="1" applyNumberFormat="1" applyFont="1" applyFill="1" applyBorder="1" applyAlignment="1">
      <alignment horizontal="center" vertical="center"/>
    </xf>
    <xf numFmtId="0" fontId="18" fillId="6" borderId="2" xfId="0" quotePrefix="1" applyFont="1" applyFill="1" applyBorder="1" applyAlignment="1">
      <alignment vertical="center" wrapText="1"/>
    </xf>
    <xf numFmtId="0" fontId="18" fillId="6" borderId="2" xfId="1" applyNumberFormat="1" applyFont="1" applyFill="1" applyBorder="1" applyAlignment="1">
      <alignment horizontal="center" vertical="center" wrapText="1"/>
    </xf>
    <xf numFmtId="1" fontId="18" fillId="6" borderId="2" xfId="56" quotePrefix="1" applyNumberFormat="1" applyFont="1" applyFill="1" applyBorder="1" applyAlignment="1">
      <alignment horizontal="center" vertical="center" wrapText="1"/>
    </xf>
    <xf numFmtId="0" fontId="18" fillId="6" borderId="2" xfId="0" applyFont="1" applyFill="1" applyBorder="1" applyAlignment="1">
      <alignment horizontal="center" vertical="center" wrapText="1"/>
    </xf>
    <xf numFmtId="3" fontId="18" fillId="6" borderId="2" xfId="14" applyNumberFormat="1" applyFont="1" applyFill="1" applyBorder="1" applyAlignment="1">
      <alignment horizontal="center" vertical="center" wrapText="1"/>
    </xf>
    <xf numFmtId="0" fontId="18" fillId="6" borderId="2" xfId="8" applyNumberFormat="1" applyFont="1" applyFill="1" applyBorder="1" applyAlignment="1">
      <alignment horizontal="center" vertical="center" wrapText="1"/>
    </xf>
    <xf numFmtId="0" fontId="18" fillId="6" borderId="2" xfId="6" applyNumberFormat="1" applyFont="1" applyFill="1" applyBorder="1" applyAlignment="1">
      <alignment horizontal="center" vertical="center" wrapText="1"/>
    </xf>
    <xf numFmtId="3" fontId="18" fillId="6" borderId="2" xfId="0" applyNumberFormat="1" applyFont="1" applyFill="1" applyBorder="1" applyAlignment="1">
      <alignment horizontal="right" vertical="center"/>
    </xf>
    <xf numFmtId="0" fontId="18" fillId="6" borderId="0" xfId="0" applyFont="1" applyFill="1" applyAlignment="1">
      <alignment vertical="center"/>
    </xf>
    <xf numFmtId="169" fontId="15" fillId="6" borderId="2" xfId="10" applyNumberFormat="1" applyFont="1" applyFill="1" applyBorder="1" applyAlignment="1">
      <alignment horizontal="left" vertical="center" wrapText="1"/>
    </xf>
    <xf numFmtId="169" fontId="13" fillId="6" borderId="2" xfId="10" applyNumberFormat="1" applyFont="1" applyFill="1" applyBorder="1" applyAlignment="1">
      <alignment horizontal="left" vertical="center" wrapText="1"/>
    </xf>
    <xf numFmtId="1" fontId="17" fillId="6" borderId="2" xfId="56" applyNumberFormat="1" applyFont="1" applyFill="1" applyBorder="1" applyAlignment="1">
      <alignment horizontal="center" vertical="center" wrapText="1"/>
    </xf>
    <xf numFmtId="167" fontId="17" fillId="6" borderId="2" xfId="0" applyNumberFormat="1" applyFont="1" applyFill="1" applyBorder="1" applyAlignment="1">
      <alignment horizontal="center" vertical="center" wrapText="1"/>
    </xf>
    <xf numFmtId="1" fontId="17" fillId="6" borderId="2" xfId="57" applyNumberFormat="1" applyFont="1" applyFill="1" applyBorder="1" applyAlignment="1">
      <alignment horizontal="center" vertical="center" wrapText="1"/>
    </xf>
    <xf numFmtId="0" fontId="17" fillId="6" borderId="2" xfId="0" applyFont="1" applyFill="1" applyBorder="1" applyAlignment="1">
      <alignment horizontal="center" vertical="center" wrapText="1"/>
    </xf>
    <xf numFmtId="3" fontId="17" fillId="6" borderId="2" xfId="56" applyNumberFormat="1" applyFont="1" applyFill="1" applyBorder="1" applyAlignment="1">
      <alignment horizontal="right" vertical="center"/>
    </xf>
    <xf numFmtId="3" fontId="17" fillId="6" borderId="2" xfId="56" applyNumberFormat="1" applyFont="1" applyFill="1" applyBorder="1" applyAlignment="1">
      <alignment horizontal="center" vertical="center"/>
    </xf>
    <xf numFmtId="0" fontId="17" fillId="6" borderId="0" xfId="0" applyFont="1" applyFill="1"/>
    <xf numFmtId="1" fontId="18" fillId="6" borderId="2" xfId="56" applyNumberFormat="1" applyFont="1" applyFill="1" applyBorder="1" applyAlignment="1">
      <alignment horizontal="center" vertical="center" wrapText="1"/>
    </xf>
    <xf numFmtId="167" fontId="18" fillId="6" borderId="2" xfId="0" applyNumberFormat="1" applyFont="1" applyFill="1" applyBorder="1" applyAlignment="1">
      <alignment horizontal="center" vertical="center" wrapText="1"/>
    </xf>
    <xf numFmtId="1" fontId="18" fillId="6" borderId="2" xfId="57" applyNumberFormat="1" applyFont="1" applyFill="1" applyBorder="1" applyAlignment="1">
      <alignment horizontal="center" vertical="center" wrapText="1"/>
    </xf>
    <xf numFmtId="3" fontId="18" fillId="6" borderId="2" xfId="56" applyNumberFormat="1" applyFont="1" applyFill="1" applyBorder="1" applyAlignment="1">
      <alignment horizontal="right" vertical="center"/>
    </xf>
    <xf numFmtId="3" fontId="18" fillId="6" borderId="2" xfId="56" applyNumberFormat="1" applyFont="1" applyFill="1" applyBorder="1" applyAlignment="1">
      <alignment horizontal="center" vertical="center"/>
    </xf>
    <xf numFmtId="49" fontId="15" fillId="6" borderId="2" xfId="56" quotePrefix="1" applyNumberFormat="1" applyFont="1" applyFill="1" applyBorder="1" applyAlignment="1">
      <alignment horizontal="center" vertical="center"/>
    </xf>
    <xf numFmtId="0" fontId="13" fillId="6" borderId="2" xfId="0" applyFont="1" applyFill="1" applyBorder="1" applyAlignment="1">
      <alignment vertical="center" wrapText="1"/>
    </xf>
    <xf numFmtId="1" fontId="15" fillId="6" borderId="2" xfId="56" applyNumberFormat="1" applyFont="1" applyFill="1" applyBorder="1" applyAlignment="1">
      <alignment horizontal="center" vertical="center" wrapText="1"/>
    </xf>
    <xf numFmtId="167" fontId="13" fillId="6" borderId="2" xfId="0" applyNumberFormat="1" applyFont="1" applyFill="1" applyBorder="1" applyAlignment="1">
      <alignment horizontal="center" vertical="center" wrapText="1"/>
    </xf>
    <xf numFmtId="0" fontId="13" fillId="6" borderId="2" xfId="54" applyFont="1" applyFill="1" applyBorder="1" applyAlignment="1">
      <alignment horizontal="center" vertical="center" wrapText="1"/>
    </xf>
    <xf numFmtId="3" fontId="15" fillId="6" borderId="2" xfId="56" applyNumberFormat="1" applyFont="1" applyFill="1" applyBorder="1" applyAlignment="1">
      <alignment horizontal="right" vertical="center"/>
    </xf>
    <xf numFmtId="0" fontId="13" fillId="6" borderId="2" xfId="0" applyFont="1" applyFill="1" applyBorder="1" applyAlignment="1">
      <alignment vertical="center"/>
    </xf>
    <xf numFmtId="0" fontId="15" fillId="6" borderId="0" xfId="0" applyFont="1" applyFill="1"/>
    <xf numFmtId="49" fontId="13" fillId="6" borderId="2" xfId="56" quotePrefix="1" applyNumberFormat="1" applyFont="1" applyFill="1" applyBorder="1" applyAlignment="1">
      <alignment horizontal="center" vertical="center"/>
    </xf>
    <xf numFmtId="1" fontId="13" fillId="6" borderId="2" xfId="56" applyNumberFormat="1" applyFont="1" applyFill="1" applyBorder="1" applyAlignment="1">
      <alignment horizontal="justify" vertical="center" wrapText="1"/>
    </xf>
    <xf numFmtId="3" fontId="13" fillId="6" borderId="2" xfId="56" applyNumberFormat="1" applyFont="1" applyFill="1" applyBorder="1" applyAlignment="1">
      <alignment horizontal="center" vertical="center" wrapText="1"/>
    </xf>
    <xf numFmtId="0" fontId="13" fillId="6" borderId="2" xfId="49" applyFont="1" applyFill="1" applyBorder="1" applyAlignment="1">
      <alignment horizontal="center" vertical="center" wrapText="1"/>
    </xf>
    <xf numFmtId="3" fontId="13" fillId="6" borderId="2" xfId="22" applyNumberFormat="1" applyFont="1" applyFill="1" applyBorder="1" applyAlignment="1">
      <alignment horizontal="right" vertical="center" wrapText="1"/>
    </xf>
    <xf numFmtId="3" fontId="13" fillId="6" borderId="2" xfId="22" applyNumberFormat="1" applyFont="1" applyFill="1" applyBorder="1" applyAlignment="1">
      <alignment horizontal="right" vertical="center" wrapText="1" shrinkToFit="1"/>
    </xf>
    <xf numFmtId="1" fontId="13" fillId="6" borderId="2" xfId="56" applyNumberFormat="1" applyFont="1" applyFill="1" applyBorder="1" applyAlignment="1">
      <alignment horizontal="center" vertical="center" wrapText="1"/>
    </xf>
    <xf numFmtId="0" fontId="13" fillId="6" borderId="2" xfId="48" applyFont="1" applyFill="1" applyBorder="1" applyAlignment="1">
      <alignment horizontal="left" vertical="center" wrapText="1"/>
    </xf>
    <xf numFmtId="0" fontId="13" fillId="6" borderId="2" xfId="50" applyFont="1" applyFill="1" applyBorder="1" applyAlignment="1">
      <alignment horizontal="center" vertical="center" wrapText="1"/>
    </xf>
    <xf numFmtId="0" fontId="13" fillId="6" borderId="2" xfId="52" applyFont="1" applyFill="1" applyBorder="1" applyAlignment="1">
      <alignment horizontal="center" vertical="center" wrapText="1"/>
    </xf>
    <xf numFmtId="0" fontId="13" fillId="6" borderId="2" xfId="53" applyFont="1" applyFill="1" applyBorder="1" applyAlignment="1">
      <alignment horizontal="center" vertical="center"/>
    </xf>
    <xf numFmtId="3" fontId="13" fillId="6" borderId="2" xfId="56" applyNumberFormat="1" applyFont="1" applyFill="1" applyBorder="1" applyAlignment="1">
      <alignment vertical="center"/>
    </xf>
    <xf numFmtId="166" fontId="13" fillId="6" borderId="2" xfId="1" applyNumberFormat="1" applyFont="1" applyFill="1" applyBorder="1" applyAlignment="1">
      <alignment vertical="center"/>
    </xf>
    <xf numFmtId="0" fontId="18" fillId="6" borderId="2" xfId="41" applyFont="1" applyFill="1" applyBorder="1" applyAlignment="1">
      <alignment horizontal="center" vertical="center" wrapText="1"/>
    </xf>
    <xf numFmtId="3" fontId="18" fillId="6" borderId="2" xfId="22" applyNumberFormat="1" applyFont="1" applyFill="1" applyBorder="1" applyAlignment="1">
      <alignment horizontal="right" vertical="center" wrapText="1"/>
    </xf>
    <xf numFmtId="3" fontId="18" fillId="6" borderId="2" xfId="22" applyNumberFormat="1" applyFont="1" applyFill="1" applyBorder="1" applyAlignment="1">
      <alignment horizontal="center" vertical="center" wrapText="1"/>
    </xf>
    <xf numFmtId="0" fontId="13" fillId="6" borderId="2" xfId="41" quotePrefix="1" applyFont="1" applyFill="1" applyBorder="1" applyAlignment="1">
      <alignment horizontal="center" vertical="center" wrapText="1"/>
    </xf>
    <xf numFmtId="0" fontId="13" fillId="6" borderId="2" xfId="33" applyFont="1" applyFill="1" applyBorder="1" applyAlignment="1">
      <alignment horizontal="center" vertical="center" wrapText="1"/>
    </xf>
    <xf numFmtId="0" fontId="18" fillId="6" borderId="2" xfId="33" applyFont="1" applyFill="1" applyBorder="1" applyAlignment="1">
      <alignment horizontal="center" vertical="center" wrapText="1"/>
    </xf>
    <xf numFmtId="0" fontId="18" fillId="6" borderId="2" xfId="41" quotePrefix="1" applyFont="1" applyFill="1" applyBorder="1" applyAlignment="1">
      <alignment horizontal="center" vertical="center" wrapText="1"/>
    </xf>
    <xf numFmtId="0" fontId="18" fillId="6" borderId="2" xfId="49" applyFont="1" applyFill="1" applyBorder="1" applyAlignment="1">
      <alignment horizontal="center" vertical="center" wrapText="1"/>
    </xf>
    <xf numFmtId="0" fontId="18" fillId="6" borderId="2" xfId="51" applyFont="1" applyFill="1" applyBorder="1" applyAlignment="1">
      <alignment horizontal="center" vertical="center" wrapText="1"/>
    </xf>
    <xf numFmtId="0" fontId="18" fillId="6" borderId="2" xfId="54" applyFont="1" applyFill="1" applyBorder="1" applyAlignment="1">
      <alignment horizontal="center" vertical="center" wrapText="1"/>
    </xf>
    <xf numFmtId="0" fontId="15" fillId="6" borderId="2" xfId="0" applyFont="1" applyFill="1" applyBorder="1" applyAlignment="1">
      <alignment vertical="center" wrapText="1"/>
    </xf>
    <xf numFmtId="0" fontId="17" fillId="6" borderId="2" xfId="0" applyFont="1" applyFill="1" applyBorder="1" applyAlignment="1">
      <alignment horizontal="center" vertical="center"/>
    </xf>
    <xf numFmtId="0" fontId="17" fillId="6" borderId="2" xfId="0" applyFont="1" applyFill="1" applyBorder="1" applyAlignment="1">
      <alignment vertical="center" wrapText="1"/>
    </xf>
    <xf numFmtId="0" fontId="17" fillId="6" borderId="2" xfId="0" applyFont="1" applyFill="1" applyBorder="1"/>
    <xf numFmtId="0" fontId="17" fillId="6" borderId="2" xfId="0" applyFont="1" applyFill="1" applyBorder="1" applyAlignment="1">
      <alignment horizontal="center"/>
    </xf>
    <xf numFmtId="0" fontId="18" fillId="6" borderId="2" xfId="0" applyFont="1" applyFill="1" applyBorder="1" applyAlignment="1">
      <alignment horizontal="center" vertical="center"/>
    </xf>
    <xf numFmtId="3" fontId="13" fillId="6" borderId="2" xfId="56" quotePrefix="1" applyNumberFormat="1" applyFont="1" applyFill="1" applyBorder="1" applyAlignment="1">
      <alignment horizontal="center" vertical="center" wrapText="1"/>
    </xf>
    <xf numFmtId="3" fontId="13" fillId="6" borderId="2" xfId="8" applyNumberFormat="1" applyFont="1" applyFill="1" applyBorder="1" applyAlignment="1">
      <alignment horizontal="center" vertical="center" wrapText="1"/>
    </xf>
    <xf numFmtId="3" fontId="13" fillId="6" borderId="2" xfId="8" applyNumberFormat="1" applyFont="1" applyFill="1" applyBorder="1" applyAlignment="1">
      <alignment horizontal="right" vertical="center"/>
    </xf>
    <xf numFmtId="3" fontId="13" fillId="6" borderId="2" xfId="9" applyNumberFormat="1" applyFont="1" applyFill="1" applyBorder="1" applyAlignment="1">
      <alignment horizontal="center" vertical="center" wrapText="1"/>
    </xf>
    <xf numFmtId="0" fontId="18" fillId="6" borderId="2" xfId="0" quotePrefix="1" applyFont="1" applyFill="1" applyBorder="1" applyAlignment="1">
      <alignment horizontal="center" vertical="center" wrapText="1"/>
    </xf>
    <xf numFmtId="3" fontId="18" fillId="6" borderId="2" xfId="56" quotePrefix="1" applyNumberFormat="1" applyFont="1" applyFill="1" applyBorder="1" applyAlignment="1">
      <alignment horizontal="center" vertical="center" wrapText="1"/>
    </xf>
    <xf numFmtId="3" fontId="18" fillId="6" borderId="2" xfId="8" applyNumberFormat="1" applyFont="1" applyFill="1" applyBorder="1" applyAlignment="1">
      <alignment horizontal="center" vertical="center" wrapText="1"/>
    </xf>
    <xf numFmtId="3" fontId="18" fillId="6" borderId="2" xfId="9" applyNumberFormat="1" applyFont="1" applyFill="1" applyBorder="1" applyAlignment="1">
      <alignment horizontal="center" vertical="center" wrapText="1"/>
    </xf>
    <xf numFmtId="3" fontId="18" fillId="6" borderId="2" xfId="14" applyNumberFormat="1" applyFont="1" applyFill="1" applyBorder="1" applyAlignment="1">
      <alignment vertical="center" wrapText="1"/>
    </xf>
    <xf numFmtId="3" fontId="15" fillId="6" borderId="2" xfId="26" applyNumberFormat="1" applyFont="1" applyFill="1" applyBorder="1" applyAlignment="1">
      <alignment horizontal="left" vertical="center" wrapText="1"/>
    </xf>
    <xf numFmtId="3" fontId="13" fillId="6" borderId="2" xfId="26" applyNumberFormat="1" applyFont="1" applyFill="1" applyBorder="1" applyAlignment="1">
      <alignment horizontal="left" vertical="center" wrapText="1"/>
    </xf>
    <xf numFmtId="0" fontId="15" fillId="6" borderId="2" xfId="0" applyFont="1" applyFill="1" applyBorder="1"/>
    <xf numFmtId="0" fontId="15" fillId="6" borderId="2" xfId="0" applyFont="1" applyFill="1" applyBorder="1" applyAlignment="1">
      <alignment horizontal="center"/>
    </xf>
    <xf numFmtId="3" fontId="17" fillId="6" borderId="2" xfId="22" applyNumberFormat="1" applyFont="1" applyFill="1" applyBorder="1" applyAlignment="1">
      <alignment horizontal="right" vertical="center" wrapText="1"/>
    </xf>
    <xf numFmtId="3" fontId="17" fillId="6" borderId="2" xfId="22" applyNumberFormat="1" applyFont="1" applyFill="1" applyBorder="1" applyAlignment="1">
      <alignment horizontal="center" vertical="center" wrapText="1"/>
    </xf>
    <xf numFmtId="49" fontId="13" fillId="6" borderId="2" xfId="25" applyNumberFormat="1" applyFont="1" applyFill="1" applyBorder="1" applyAlignment="1" applyProtection="1">
      <alignment horizontal="justify" vertical="center" wrapText="1"/>
      <protection locked="0"/>
    </xf>
    <xf numFmtId="49" fontId="13" fillId="6" borderId="2" xfId="25" applyNumberFormat="1" applyFont="1" applyFill="1" applyBorder="1" applyAlignment="1" applyProtection="1">
      <alignment horizontal="center" vertical="center" wrapText="1"/>
      <protection locked="0"/>
    </xf>
    <xf numFmtId="49" fontId="13" fillId="6" borderId="2" xfId="25" quotePrefix="1" applyNumberFormat="1" applyFont="1" applyFill="1" applyBorder="1" applyAlignment="1" applyProtection="1">
      <alignment horizontal="center" vertical="center" wrapText="1"/>
      <protection locked="0"/>
    </xf>
    <xf numFmtId="49" fontId="18" fillId="6" borderId="2" xfId="25" applyNumberFormat="1" applyFont="1" applyFill="1" applyBorder="1" applyAlignment="1" applyProtection="1">
      <alignment horizontal="center" vertical="center" wrapText="1"/>
      <protection locked="0"/>
    </xf>
    <xf numFmtId="49" fontId="18" fillId="6" borderId="2" xfId="25" quotePrefix="1" applyNumberFormat="1" applyFont="1" applyFill="1" applyBorder="1" applyAlignment="1" applyProtection="1">
      <alignment horizontal="center" vertical="center" wrapText="1"/>
      <protection locked="0"/>
    </xf>
    <xf numFmtId="3" fontId="18" fillId="6" borderId="2" xfId="57" quotePrefix="1" applyNumberFormat="1" applyFont="1" applyFill="1" applyBorder="1" applyAlignment="1">
      <alignment horizontal="center" vertical="center" wrapText="1"/>
    </xf>
    <xf numFmtId="0" fontId="18" fillId="6" borderId="2" xfId="25" applyFont="1" applyFill="1" applyBorder="1" applyAlignment="1">
      <alignment horizontal="center" vertical="center" wrapText="1"/>
    </xf>
    <xf numFmtId="3" fontId="18" fillId="6" borderId="2" xfId="5" applyNumberFormat="1" applyFont="1" applyFill="1" applyBorder="1" applyAlignment="1">
      <alignment horizontal="right" vertical="center" wrapText="1"/>
    </xf>
    <xf numFmtId="3" fontId="18" fillId="6" borderId="2" xfId="5" applyNumberFormat="1" applyFont="1" applyFill="1" applyBorder="1" applyAlignment="1">
      <alignment horizontal="center" vertical="center" wrapText="1"/>
    </xf>
    <xf numFmtId="49" fontId="15" fillId="6" borderId="2" xfId="25" applyNumberFormat="1" applyFont="1" applyFill="1" applyBorder="1" applyAlignment="1" applyProtection="1">
      <alignment horizontal="justify" vertical="center" wrapText="1"/>
      <protection locked="0"/>
    </xf>
    <xf numFmtId="49" fontId="15" fillId="6" borderId="2" xfId="25" applyNumberFormat="1" applyFont="1" applyFill="1" applyBorder="1" applyAlignment="1" applyProtection="1">
      <alignment horizontal="center" vertical="center" wrapText="1"/>
      <protection locked="0"/>
    </xf>
    <xf numFmtId="49" fontId="15" fillId="6" borderId="2" xfId="25" quotePrefix="1" applyNumberFormat="1" applyFont="1" applyFill="1" applyBorder="1" applyAlignment="1" applyProtection="1">
      <alignment horizontal="center" vertical="center" wrapText="1"/>
      <protection locked="0"/>
    </xf>
    <xf numFmtId="3" fontId="15" fillId="6" borderId="2" xfId="57" quotePrefix="1" applyNumberFormat="1" applyFont="1" applyFill="1" applyBorder="1" applyAlignment="1">
      <alignment horizontal="center" vertical="center" wrapText="1"/>
    </xf>
    <xf numFmtId="167" fontId="15" fillId="6" borderId="2" xfId="0" applyNumberFormat="1" applyFont="1" applyFill="1" applyBorder="1" applyAlignment="1">
      <alignment horizontal="center" vertical="center" wrapText="1"/>
    </xf>
    <xf numFmtId="1" fontId="15" fillId="6" borderId="2" xfId="57" applyNumberFormat="1" applyFont="1" applyFill="1" applyBorder="1" applyAlignment="1">
      <alignment horizontal="center" vertical="center" wrapText="1"/>
    </xf>
    <xf numFmtId="0" fontId="15" fillId="6" borderId="2" xfId="25" applyFont="1" applyFill="1" applyBorder="1" applyAlignment="1">
      <alignment horizontal="center" vertical="center" wrapText="1"/>
    </xf>
    <xf numFmtId="3" fontId="15" fillId="6" borderId="2" xfId="5" applyNumberFormat="1" applyFont="1" applyFill="1" applyBorder="1" applyAlignment="1">
      <alignment horizontal="right" vertical="center" wrapText="1"/>
    </xf>
    <xf numFmtId="3" fontId="15" fillId="6" borderId="2" xfId="5" applyNumberFormat="1" applyFont="1" applyFill="1" applyBorder="1" applyAlignment="1">
      <alignment horizontal="center" vertical="center" wrapText="1"/>
    </xf>
    <xf numFmtId="3" fontId="17" fillId="6" borderId="2" xfId="0" applyNumberFormat="1" applyFont="1" applyFill="1" applyBorder="1" applyAlignment="1">
      <alignment horizontal="left" vertical="center" wrapText="1"/>
    </xf>
    <xf numFmtId="3" fontId="62" fillId="6" borderId="2" xfId="0" applyNumberFormat="1" applyFont="1" applyFill="1" applyBorder="1" applyAlignment="1">
      <alignment horizontal="center" vertical="center" wrapText="1"/>
    </xf>
    <xf numFmtId="3" fontId="17" fillId="6" borderId="2" xfId="0" applyNumberFormat="1" applyFont="1" applyFill="1" applyBorder="1" applyAlignment="1">
      <alignment vertical="center" wrapText="1"/>
    </xf>
    <xf numFmtId="3" fontId="17" fillId="6" borderId="2" xfId="0" applyNumberFormat="1" applyFont="1" applyFill="1" applyBorder="1" applyAlignment="1">
      <alignment horizontal="center" vertical="center" wrapText="1"/>
    </xf>
    <xf numFmtId="3" fontId="18" fillId="6" borderId="2" xfId="0" applyNumberFormat="1" applyFont="1" applyFill="1" applyBorder="1" applyAlignment="1">
      <alignment horizontal="left" vertical="center" wrapText="1"/>
    </xf>
    <xf numFmtId="3" fontId="18" fillId="6" borderId="2" xfId="0" applyNumberFormat="1" applyFont="1" applyFill="1" applyBorder="1" applyAlignment="1">
      <alignment horizontal="center" vertical="center" wrapText="1"/>
    </xf>
    <xf numFmtId="3" fontId="18" fillId="6" borderId="2" xfId="0" applyNumberFormat="1" applyFont="1" applyFill="1" applyBorder="1" applyAlignment="1">
      <alignment vertical="center" wrapText="1"/>
    </xf>
    <xf numFmtId="1" fontId="13" fillId="6" borderId="2" xfId="0" applyNumberFormat="1" applyFont="1" applyFill="1" applyBorder="1" applyAlignment="1">
      <alignment horizontal="center" vertical="center" wrapText="1"/>
    </xf>
    <xf numFmtId="3" fontId="18" fillId="6" borderId="2" xfId="26" applyNumberFormat="1" applyFont="1" applyFill="1" applyBorder="1" applyAlignment="1">
      <alignment vertical="center" wrapText="1"/>
    </xf>
    <xf numFmtId="1" fontId="18" fillId="6" borderId="2" xfId="0" applyNumberFormat="1" applyFont="1" applyFill="1" applyBorder="1" applyAlignment="1">
      <alignment horizontal="center" vertical="center" wrapText="1"/>
    </xf>
    <xf numFmtId="1" fontId="15" fillId="6" borderId="2" xfId="56" applyNumberFormat="1" applyFont="1" applyFill="1" applyBorder="1" applyAlignment="1">
      <alignment horizontal="center" vertical="center"/>
    </xf>
    <xf numFmtId="0" fontId="13" fillId="6" borderId="2" xfId="0" applyFont="1" applyFill="1" applyBorder="1" applyAlignment="1">
      <alignment horizontal="justify" vertical="center" wrapText="1"/>
    </xf>
    <xf numFmtId="0" fontId="15" fillId="6" borderId="2" xfId="0" applyFont="1" applyFill="1" applyBorder="1" applyAlignment="1">
      <alignment vertical="center"/>
    </xf>
    <xf numFmtId="0" fontId="13" fillId="6" borderId="2" xfId="34" applyFont="1" applyFill="1" applyBorder="1" applyAlignment="1">
      <alignment horizontal="center" vertical="center" wrapText="1"/>
    </xf>
    <xf numFmtId="164" fontId="13" fillId="6" borderId="2" xfId="2" applyFont="1" applyFill="1" applyBorder="1" applyAlignment="1">
      <alignment horizontal="right" vertical="center" wrapText="1"/>
    </xf>
    <xf numFmtId="1" fontId="18" fillId="6" borderId="2" xfId="56" applyNumberFormat="1" applyFont="1" applyFill="1" applyBorder="1" applyAlignment="1">
      <alignment vertical="center" wrapText="1"/>
    </xf>
    <xf numFmtId="164" fontId="13" fillId="6" borderId="2" xfId="2" applyFont="1" applyFill="1" applyBorder="1" applyAlignment="1">
      <alignment horizontal="center" vertical="center" wrapText="1"/>
    </xf>
    <xf numFmtId="0" fontId="18" fillId="6" borderId="2" xfId="0" quotePrefix="1" applyFont="1" applyFill="1" applyBorder="1" applyAlignment="1">
      <alignment horizontal="center" vertical="center"/>
    </xf>
    <xf numFmtId="164" fontId="18" fillId="6" borderId="2" xfId="2" applyFont="1" applyFill="1" applyBorder="1" applyAlignment="1">
      <alignment horizontal="right" vertical="center" wrapText="1"/>
    </xf>
    <xf numFmtId="164" fontId="18" fillId="6" borderId="2" xfId="2" applyFont="1" applyFill="1" applyBorder="1" applyAlignment="1">
      <alignment horizontal="center" vertical="center" wrapText="1"/>
    </xf>
    <xf numFmtId="164" fontId="15" fillId="6" borderId="2" xfId="2" applyFont="1" applyFill="1" applyBorder="1" applyAlignment="1">
      <alignment horizontal="right" vertical="center" wrapText="1"/>
    </xf>
    <xf numFmtId="164" fontId="15" fillId="6" borderId="2" xfId="2" applyFont="1" applyFill="1" applyBorder="1" applyAlignment="1">
      <alignment horizontal="center" vertical="center" wrapText="1"/>
    </xf>
    <xf numFmtId="164" fontId="17" fillId="6" borderId="2" xfId="2" applyFont="1" applyFill="1" applyBorder="1" applyAlignment="1">
      <alignment horizontal="right" vertical="center" wrapText="1"/>
    </xf>
    <xf numFmtId="164" fontId="17" fillId="6" borderId="2" xfId="2" applyFont="1" applyFill="1" applyBorder="1" applyAlignment="1">
      <alignment horizontal="center" vertical="center" wrapText="1"/>
    </xf>
    <xf numFmtId="0" fontId="15" fillId="6" borderId="2" xfId="0" quotePrefix="1" applyFont="1" applyFill="1" applyBorder="1" applyAlignment="1">
      <alignment horizontal="center" vertical="center"/>
    </xf>
    <xf numFmtId="0" fontId="17" fillId="6" borderId="2" xfId="0" quotePrefix="1" applyFont="1" applyFill="1" applyBorder="1" applyAlignment="1">
      <alignment horizontal="center" vertical="center"/>
    </xf>
    <xf numFmtId="168" fontId="13" fillId="6" borderId="2" xfId="14" applyNumberFormat="1" applyFont="1" applyFill="1" applyBorder="1" applyAlignment="1">
      <alignment vertical="center" wrapText="1"/>
    </xf>
    <xf numFmtId="0" fontId="13" fillId="6" borderId="2" xfId="42" applyFont="1" applyFill="1" applyBorder="1" applyAlignment="1">
      <alignment horizontal="center" vertical="center" wrapText="1"/>
    </xf>
    <xf numFmtId="169" fontId="13" fillId="6" borderId="2" xfId="18" applyNumberFormat="1" applyFont="1" applyFill="1" applyBorder="1" applyAlignment="1">
      <alignment horizontal="right" vertical="center" wrapText="1"/>
    </xf>
    <xf numFmtId="169" fontId="13" fillId="6" borderId="2" xfId="19" applyNumberFormat="1" applyFont="1" applyFill="1" applyBorder="1" applyAlignment="1">
      <alignment horizontal="right" vertical="center" wrapText="1"/>
    </xf>
    <xf numFmtId="166" fontId="13" fillId="6" borderId="2" xfId="1" applyNumberFormat="1" applyFont="1" applyFill="1" applyBorder="1" applyAlignment="1">
      <alignment horizontal="right" vertical="center"/>
    </xf>
    <xf numFmtId="0" fontId="13" fillId="6" borderId="1" xfId="69" applyFont="1" applyFill="1" applyBorder="1" applyAlignment="1">
      <alignment horizontal="left" vertical="center" wrapText="1"/>
    </xf>
    <xf numFmtId="1" fontId="13" fillId="6" borderId="2" xfId="31" applyNumberFormat="1" applyFont="1" applyFill="1" applyBorder="1" applyAlignment="1">
      <alignment horizontal="center" vertical="center"/>
    </xf>
    <xf numFmtId="0" fontId="13" fillId="6" borderId="0" xfId="0" applyFont="1" applyFill="1" applyAlignment="1">
      <alignment horizontal="center" vertical="center" wrapText="1"/>
    </xf>
    <xf numFmtId="3" fontId="34" fillId="6" borderId="0" xfId="0" applyNumberFormat="1" applyFont="1" applyFill="1"/>
    <xf numFmtId="1" fontId="15" fillId="6" borderId="2" xfId="31" applyNumberFormat="1" applyFont="1" applyFill="1" applyBorder="1" applyAlignment="1">
      <alignment horizontal="center" vertical="center"/>
    </xf>
    <xf numFmtId="169" fontId="15" fillId="6" borderId="2" xfId="18" applyNumberFormat="1" applyFont="1" applyFill="1" applyBorder="1" applyAlignment="1">
      <alignment horizontal="right" vertical="center" wrapText="1"/>
    </xf>
    <xf numFmtId="169" fontId="15" fillId="6" borderId="2" xfId="18" applyNumberFormat="1" applyFont="1" applyFill="1" applyBorder="1" applyAlignment="1">
      <alignment horizontal="center" vertical="center" wrapText="1"/>
    </xf>
    <xf numFmtId="1" fontId="17" fillId="6" borderId="2" xfId="31" applyNumberFormat="1" applyFont="1" applyFill="1" applyBorder="1" applyAlignment="1">
      <alignment horizontal="center" vertical="center"/>
    </xf>
    <xf numFmtId="169" fontId="17" fillId="6" borderId="2" xfId="18" applyNumberFormat="1" applyFont="1" applyFill="1" applyBorder="1" applyAlignment="1">
      <alignment horizontal="right" vertical="center" wrapText="1"/>
    </xf>
    <xf numFmtId="169" fontId="17" fillId="6" borderId="2" xfId="18" applyNumberFormat="1" applyFont="1" applyFill="1" applyBorder="1" applyAlignment="1">
      <alignment horizontal="center" vertical="center" wrapText="1"/>
    </xf>
    <xf numFmtId="1" fontId="18" fillId="6" borderId="2" xfId="31" applyNumberFormat="1" applyFont="1" applyFill="1" applyBorder="1" applyAlignment="1">
      <alignment horizontal="center" vertical="center"/>
    </xf>
    <xf numFmtId="169" fontId="18" fillId="6" borderId="2" xfId="18" applyNumberFormat="1" applyFont="1" applyFill="1" applyBorder="1" applyAlignment="1">
      <alignment horizontal="right" vertical="center" wrapText="1"/>
    </xf>
    <xf numFmtId="169" fontId="18" fillId="6" borderId="2" xfId="18" applyNumberFormat="1" applyFont="1" applyFill="1" applyBorder="1" applyAlignment="1">
      <alignment horizontal="center" vertical="center" wrapText="1"/>
    </xf>
    <xf numFmtId="0" fontId="18" fillId="6" borderId="2" xfId="0" applyFont="1" applyFill="1" applyBorder="1" applyAlignment="1">
      <alignment vertical="center" wrapText="1"/>
    </xf>
    <xf numFmtId="0" fontId="18" fillId="6" borderId="0" xfId="0" applyFont="1" applyFill="1" applyAlignment="1">
      <alignment horizontal="center" vertical="center"/>
    </xf>
    <xf numFmtId="0" fontId="18" fillId="6" borderId="2" xfId="0" applyFont="1" applyFill="1" applyBorder="1" applyAlignment="1">
      <alignment vertical="center"/>
    </xf>
    <xf numFmtId="3" fontId="15" fillId="6" borderId="2" xfId="22" applyNumberFormat="1" applyFont="1" applyFill="1" applyBorder="1" applyAlignment="1">
      <alignment horizontal="right" vertical="center" wrapText="1"/>
    </xf>
    <xf numFmtId="3" fontId="15" fillId="6" borderId="2" xfId="22" applyNumberFormat="1" applyFont="1" applyFill="1" applyBorder="1" applyAlignment="1">
      <alignment horizontal="center" vertical="center" wrapText="1"/>
    </xf>
    <xf numFmtId="49" fontId="17" fillId="6" borderId="2" xfId="56" quotePrefix="1" applyNumberFormat="1" applyFont="1" applyFill="1" applyBorder="1" applyAlignment="1">
      <alignment horizontal="center" vertical="center"/>
    </xf>
    <xf numFmtId="0" fontId="21" fillId="6" borderId="2" xfId="0" applyFont="1" applyFill="1" applyBorder="1" applyAlignment="1">
      <alignment horizontal="center" vertical="center" wrapText="1"/>
    </xf>
    <xf numFmtId="3" fontId="21" fillId="6" borderId="2" xfId="28" applyNumberFormat="1" applyFont="1" applyFill="1" applyBorder="1" applyAlignment="1">
      <alignment horizontal="center" vertical="center" wrapText="1"/>
    </xf>
    <xf numFmtId="1" fontId="21" fillId="6" borderId="2" xfId="14" applyNumberFormat="1" applyFont="1" applyFill="1" applyBorder="1" applyAlignment="1">
      <alignment horizontal="center" vertical="center" wrapText="1"/>
    </xf>
    <xf numFmtId="3" fontId="21" fillId="6" borderId="2" xfId="14" applyNumberFormat="1" applyFont="1" applyFill="1" applyBorder="1" applyAlignment="1">
      <alignment vertical="center" wrapText="1"/>
    </xf>
    <xf numFmtId="49" fontId="18" fillId="6" borderId="11" xfId="56" quotePrefix="1" applyNumberFormat="1" applyFont="1" applyFill="1" applyBorder="1" applyAlignment="1">
      <alignment horizontal="center" vertical="center"/>
    </xf>
    <xf numFmtId="0" fontId="18" fillId="6" borderId="11" xfId="0" applyFont="1" applyFill="1" applyBorder="1" applyAlignment="1">
      <alignment horizontal="justify" vertical="center" wrapText="1"/>
    </xf>
    <xf numFmtId="0" fontId="13" fillId="6" borderId="11" xfId="0" applyFont="1" applyFill="1" applyBorder="1" applyAlignment="1">
      <alignment horizontal="justify" vertical="center" wrapText="1"/>
    </xf>
    <xf numFmtId="1" fontId="18" fillId="6" borderId="11" xfId="0" applyNumberFormat="1" applyFont="1" applyFill="1" applyBorder="1" applyAlignment="1">
      <alignment horizontal="center" vertical="center" wrapText="1"/>
    </xf>
    <xf numFmtId="0" fontId="18" fillId="6" borderId="11" xfId="0" applyFont="1" applyFill="1" applyBorder="1" applyAlignment="1">
      <alignment horizontal="center" vertical="center" wrapText="1"/>
    </xf>
    <xf numFmtId="3" fontId="18" fillId="6" borderId="11" xfId="22" applyNumberFormat="1" applyFont="1" applyFill="1" applyBorder="1" applyAlignment="1">
      <alignment horizontal="right" vertical="center" wrapText="1"/>
    </xf>
    <xf numFmtId="3" fontId="18" fillId="6" borderId="11" xfId="22" applyNumberFormat="1" applyFont="1" applyFill="1" applyBorder="1" applyAlignment="1">
      <alignment horizontal="center" vertical="center" wrapText="1"/>
    </xf>
    <xf numFmtId="0" fontId="18" fillId="6" borderId="10" xfId="0" applyFont="1" applyFill="1" applyBorder="1" applyAlignment="1">
      <alignment horizontal="center" vertical="center"/>
    </xf>
    <xf numFmtId="0" fontId="18" fillId="6" borderId="10" xfId="0" applyFont="1" applyFill="1" applyBorder="1" applyAlignment="1">
      <alignment vertical="center"/>
    </xf>
    <xf numFmtId="0" fontId="13" fillId="6" borderId="10" xfId="0" applyFont="1" applyFill="1" applyBorder="1" applyAlignment="1">
      <alignment horizontal="justify" vertical="center" wrapText="1"/>
    </xf>
    <xf numFmtId="3" fontId="18" fillId="6" borderId="10" xfId="0" applyNumberFormat="1" applyFont="1" applyFill="1" applyBorder="1" applyAlignment="1">
      <alignment vertical="center"/>
    </xf>
    <xf numFmtId="3" fontId="18" fillId="6" borderId="10" xfId="0" applyNumberFormat="1" applyFont="1" applyFill="1" applyBorder="1" applyAlignment="1">
      <alignment horizontal="center" vertical="center"/>
    </xf>
    <xf numFmtId="3" fontId="26" fillId="2" borderId="0" xfId="62" applyNumberFormat="1" applyFont="1" applyFill="1" applyAlignment="1">
      <alignment horizontal="center" vertical="center"/>
    </xf>
    <xf numFmtId="3" fontId="27" fillId="2" borderId="0" xfId="62" applyNumberFormat="1" applyFont="1" applyFill="1" applyAlignment="1">
      <alignment horizontal="center" vertical="center"/>
    </xf>
    <xf numFmtId="3" fontId="4" fillId="2" borderId="8" xfId="1" applyNumberFormat="1" applyFont="1" applyFill="1" applyBorder="1" applyAlignment="1">
      <alignment horizontal="right"/>
    </xf>
    <xf numFmtId="3" fontId="22" fillId="2" borderId="1" xfId="62" applyNumberFormat="1" applyFont="1" applyFill="1" applyBorder="1" applyAlignment="1">
      <alignment horizontal="center" vertical="center"/>
    </xf>
    <xf numFmtId="3" fontId="22" fillId="2" borderId="1" xfId="1" applyNumberFormat="1" applyFont="1" applyFill="1" applyBorder="1" applyAlignment="1">
      <alignment horizontal="center" vertical="center" wrapText="1"/>
    </xf>
    <xf numFmtId="3" fontId="22" fillId="2" borderId="3" xfId="1" applyNumberFormat="1" applyFont="1" applyFill="1" applyBorder="1" applyAlignment="1">
      <alignment horizontal="center" vertical="center" wrapText="1"/>
    </xf>
    <xf numFmtId="3" fontId="22" fillId="2" borderId="6" xfId="1" applyNumberFormat="1" applyFont="1" applyFill="1" applyBorder="1" applyAlignment="1">
      <alignment horizontal="center" vertical="center" wrapText="1"/>
    </xf>
    <xf numFmtId="0" fontId="37" fillId="0" borderId="1" xfId="28" applyFont="1" applyBorder="1" applyAlignment="1">
      <alignment horizontal="center" vertical="center" wrapText="1"/>
    </xf>
    <xf numFmtId="0" fontId="37" fillId="2" borderId="1" xfId="28" applyFont="1" applyFill="1" applyBorder="1" applyAlignment="1">
      <alignment horizontal="center" vertical="center" wrapText="1"/>
    </xf>
    <xf numFmtId="0" fontId="37" fillId="0" borderId="0" xfId="28" applyFont="1" applyAlignment="1">
      <alignment horizontal="center" wrapText="1"/>
    </xf>
    <xf numFmtId="0" fontId="39" fillId="0" borderId="8" xfId="28" applyFont="1" applyBorder="1" applyAlignment="1">
      <alignment horizontal="center"/>
    </xf>
    <xf numFmtId="0" fontId="50" fillId="0" borderId="0" xfId="28" applyFont="1" applyAlignment="1">
      <alignment horizontal="center" vertical="center"/>
    </xf>
    <xf numFmtId="0" fontId="49" fillId="0" borderId="0" xfId="28" applyFont="1" applyAlignment="1">
      <alignment horizontal="center" vertical="center"/>
    </xf>
    <xf numFmtId="0" fontId="59" fillId="0" borderId="0" xfId="28" applyFont="1" applyAlignment="1">
      <alignment horizontal="center"/>
    </xf>
    <xf numFmtId="0" fontId="37" fillId="0" borderId="1" xfId="28" applyFont="1" applyBorder="1" applyAlignment="1">
      <alignment horizontal="center" vertical="center"/>
    </xf>
    <xf numFmtId="0" fontId="37" fillId="0" borderId="3" xfId="28" applyFont="1" applyBorder="1" applyAlignment="1">
      <alignment horizontal="center" vertical="center"/>
    </xf>
    <xf numFmtId="0" fontId="37" fillId="0" borderId="7" xfId="28" applyFont="1" applyBorder="1" applyAlignment="1">
      <alignment horizontal="center" vertical="center"/>
    </xf>
    <xf numFmtId="3" fontId="15" fillId="0" borderId="3" xfId="56" applyNumberFormat="1" applyFont="1" applyBorder="1" applyAlignment="1">
      <alignment horizontal="center" vertical="center" wrapText="1"/>
    </xf>
    <xf numFmtId="3" fontId="15" fillId="0" borderId="6" xfId="56" applyNumberFormat="1" applyFont="1" applyBorder="1" applyAlignment="1">
      <alignment horizontal="center" vertical="center" wrapText="1"/>
    </xf>
    <xf numFmtId="3" fontId="15" fillId="0" borderId="7" xfId="56" applyNumberFormat="1" applyFont="1" applyBorder="1" applyAlignment="1">
      <alignment horizontal="center" vertical="center" wrapText="1"/>
    </xf>
    <xf numFmtId="1" fontId="18" fillId="0" borderId="8" xfId="56" applyNumberFormat="1" applyFont="1" applyBorder="1" applyAlignment="1">
      <alignment horizontal="center" vertical="center"/>
    </xf>
    <xf numFmtId="3" fontId="15" fillId="0" borderId="1" xfId="56" applyNumberFormat="1" applyFont="1" applyBorder="1" applyAlignment="1">
      <alignment horizontal="center" vertical="center" wrapText="1"/>
    </xf>
    <xf numFmtId="0" fontId="26" fillId="0" borderId="0" xfId="28" applyFont="1" applyAlignment="1">
      <alignment horizontal="center" vertical="center"/>
    </xf>
    <xf numFmtId="1" fontId="15" fillId="0" borderId="0" xfId="56" applyNumberFormat="1" applyFont="1" applyAlignment="1">
      <alignment horizontal="center" vertical="center" wrapText="1"/>
    </xf>
    <xf numFmtId="0" fontId="18" fillId="0" borderId="0" xfId="40" applyFont="1" applyAlignment="1">
      <alignment horizontal="center" vertical="center" wrapText="1"/>
    </xf>
    <xf numFmtId="49" fontId="15" fillId="0" borderId="1" xfId="56" applyNumberFormat="1" applyFont="1" applyBorder="1" applyAlignment="1">
      <alignment horizontal="center" vertical="center" wrapText="1"/>
    </xf>
    <xf numFmtId="3" fontId="15" fillId="2" borderId="3" xfId="56" applyNumberFormat="1" applyFont="1" applyFill="1" applyBorder="1" applyAlignment="1">
      <alignment horizontal="center" vertical="center" wrapText="1"/>
    </xf>
    <xf numFmtId="3" fontId="15" fillId="2" borderId="6" xfId="56" applyNumberFormat="1" applyFont="1" applyFill="1" applyBorder="1" applyAlignment="1">
      <alignment horizontal="center" vertical="center" wrapText="1"/>
    </xf>
    <xf numFmtId="3" fontId="15" fillId="2" borderId="7" xfId="56" applyNumberFormat="1" applyFont="1" applyFill="1" applyBorder="1" applyAlignment="1">
      <alignment horizontal="center" vertical="center" wrapText="1"/>
    </xf>
    <xf numFmtId="3" fontId="15" fillId="2" borderId="1" xfId="56" applyNumberFormat="1" applyFont="1" applyFill="1" applyBorder="1" applyAlignment="1">
      <alignment horizontal="center" vertical="center" wrapText="1"/>
    </xf>
    <xf numFmtId="0" fontId="18" fillId="2" borderId="0" xfId="40" applyFont="1" applyFill="1" applyAlignment="1">
      <alignment horizontal="center" vertical="center" wrapText="1"/>
    </xf>
    <xf numFmtId="1" fontId="18" fillId="2" borderId="8" xfId="56" applyNumberFormat="1" applyFont="1" applyFill="1" applyBorder="1" applyAlignment="1">
      <alignment horizontal="center" vertical="center"/>
    </xf>
    <xf numFmtId="3" fontId="13" fillId="2" borderId="0" xfId="56" applyNumberFormat="1" applyFont="1" applyFill="1" applyAlignment="1">
      <alignment horizontal="center" vertical="center"/>
    </xf>
    <xf numFmtId="0" fontId="26" fillId="2" borderId="0" xfId="28" applyFont="1" applyFill="1" applyAlignment="1">
      <alignment horizontal="center"/>
    </xf>
    <xf numFmtId="1" fontId="15" fillId="2" borderId="0" xfId="56" applyNumberFormat="1" applyFont="1" applyFill="1" applyAlignment="1">
      <alignment horizontal="center" vertical="center" wrapText="1"/>
    </xf>
    <xf numFmtId="49" fontId="15" fillId="2" borderId="1" xfId="56" applyNumberFormat="1" applyFont="1" applyFill="1" applyBorder="1" applyAlignment="1">
      <alignment horizontal="center" vertical="center" wrapText="1"/>
    </xf>
    <xf numFmtId="1" fontId="18" fillId="2" borderId="8" xfId="56" applyNumberFormat="1" applyFont="1" applyFill="1" applyBorder="1" applyAlignment="1">
      <alignment horizontal="right" vertical="center"/>
    </xf>
    <xf numFmtId="3" fontId="15" fillId="2" borderId="1" xfId="56" applyNumberFormat="1" applyFont="1" applyFill="1" applyBorder="1" applyAlignment="1">
      <alignment horizontal="center" vertical="center"/>
    </xf>
    <xf numFmtId="0" fontId="37" fillId="2" borderId="0" xfId="28" applyFont="1" applyFill="1" applyAlignment="1">
      <alignment horizontal="center" wrapText="1"/>
    </xf>
    <xf numFmtId="0" fontId="26" fillId="0" borderId="0" xfId="0" applyFont="1" applyAlignment="1">
      <alignment horizontal="center" vertical="center"/>
    </xf>
    <xf numFmtId="0" fontId="26" fillId="0" borderId="0" xfId="0" applyFont="1" applyAlignment="1">
      <alignment horizontal="center" vertical="center" wrapText="1"/>
    </xf>
    <xf numFmtId="3" fontId="27" fillId="0" borderId="0" xfId="62" applyNumberFormat="1" applyFont="1" applyAlignment="1">
      <alignment horizontal="center" vertical="center"/>
    </xf>
    <xf numFmtId="0" fontId="4" fillId="0" borderId="8" xfId="0" applyFont="1" applyBorder="1" applyAlignment="1">
      <alignment horizont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15" fillId="0" borderId="0" xfId="0" applyFont="1" applyAlignment="1">
      <alignment horizontal="center" vertical="center" wrapText="1"/>
    </xf>
    <xf numFmtId="0" fontId="18" fillId="0" borderId="0" xfId="0" applyFont="1" applyAlignment="1">
      <alignment horizontal="center"/>
    </xf>
    <xf numFmtId="0" fontId="18" fillId="0" borderId="8" xfId="0" applyFont="1" applyBorder="1" applyAlignment="1">
      <alignment horizontal="right" vertical="center"/>
    </xf>
    <xf numFmtId="3" fontId="15" fillId="2" borderId="1" xfId="0" applyNumberFormat="1" applyFont="1" applyFill="1" applyBorder="1" applyAlignment="1">
      <alignment horizontal="center" vertical="center" wrapText="1"/>
    </xf>
    <xf numFmtId="1" fontId="15" fillId="2" borderId="1" xfId="0" applyNumberFormat="1" applyFont="1" applyFill="1" applyBorder="1" applyAlignment="1">
      <alignment horizontal="center" vertical="center" wrapText="1"/>
    </xf>
    <xf numFmtId="166" fontId="15" fillId="2" borderId="1" xfId="1" applyNumberFormat="1" applyFont="1" applyFill="1" applyBorder="1" applyAlignment="1">
      <alignment horizontal="center" vertical="center" wrapText="1"/>
    </xf>
    <xf numFmtId="166" fontId="15" fillId="2" borderId="1" xfId="1" applyNumberFormat="1" applyFont="1" applyFill="1" applyBorder="1" applyAlignment="1">
      <alignment horizontal="center" vertical="center"/>
    </xf>
    <xf numFmtId="0" fontId="15" fillId="2" borderId="1" xfId="0" applyFont="1" applyFill="1" applyBorder="1" applyAlignment="1">
      <alignment horizontal="center" vertical="center"/>
    </xf>
    <xf numFmtId="0" fontId="13" fillId="0" borderId="0" xfId="0" quotePrefix="1" applyFont="1" applyAlignment="1">
      <alignment vertical="center" wrapText="1"/>
    </xf>
    <xf numFmtId="0" fontId="13" fillId="0" borderId="0" xfId="0" applyFont="1" applyAlignment="1">
      <alignment vertical="center"/>
    </xf>
    <xf numFmtId="3" fontId="15" fillId="3" borderId="1" xfId="0" applyNumberFormat="1" applyFont="1" applyFill="1" applyBorder="1" applyAlignment="1">
      <alignment horizontal="center" vertical="center" wrapText="1"/>
    </xf>
    <xf numFmtId="3" fontId="70" fillId="2" borderId="4" xfId="56" quotePrefix="1" applyNumberFormat="1" applyFont="1" applyFill="1" applyBorder="1" applyAlignment="1">
      <alignment horizontal="right" vertical="center" wrapText="1"/>
    </xf>
    <xf numFmtId="3" fontId="70" fillId="0" borderId="4" xfId="56" quotePrefix="1" applyNumberFormat="1" applyFont="1" applyBorder="1" applyAlignment="1">
      <alignment horizontal="right" vertical="center" wrapText="1"/>
    </xf>
    <xf numFmtId="41" fontId="3" fillId="0" borderId="0" xfId="28" applyNumberFormat="1" applyFont="1"/>
  </cellXfs>
  <cellStyles count="70">
    <cellStyle name="Comma" xfId="1" builtinId="3"/>
    <cellStyle name="Comma [0]" xfId="2" builtinId="6"/>
    <cellStyle name="Comma 10" xfId="3" xr:uid="{00000000-0005-0000-0000-000002000000}"/>
    <cellStyle name="Comma 10 10 2" xfId="4" xr:uid="{00000000-0005-0000-0000-000003000000}"/>
    <cellStyle name="Comma 10 10 2 2" xfId="5" xr:uid="{00000000-0005-0000-0000-000004000000}"/>
    <cellStyle name="Comma 10 10 2 2 2" xfId="65" xr:uid="{00000000-0005-0000-0000-000005000000}"/>
    <cellStyle name="Comma 10 10 2 2 3" xfId="67" xr:uid="{00000000-0005-0000-0000-000006000000}"/>
    <cellStyle name="Comma 10 2" xfId="6" xr:uid="{00000000-0005-0000-0000-000007000000}"/>
    <cellStyle name="Comma 11 2" xfId="7" xr:uid="{00000000-0005-0000-0000-000008000000}"/>
    <cellStyle name="Comma 2" xfId="8" xr:uid="{00000000-0005-0000-0000-000009000000}"/>
    <cellStyle name="Comma 2 29" xfId="9" xr:uid="{00000000-0005-0000-0000-00000A000000}"/>
    <cellStyle name="Comma 2 3" xfId="10" xr:uid="{00000000-0005-0000-0000-00000B000000}"/>
    <cellStyle name="Comma 2 3 2 2" xfId="11" xr:uid="{00000000-0005-0000-0000-00000C000000}"/>
    <cellStyle name="Comma 2 3 5" xfId="12" xr:uid="{00000000-0005-0000-0000-00000D000000}"/>
    <cellStyle name="Comma 2 4" xfId="13" xr:uid="{00000000-0005-0000-0000-00000E000000}"/>
    <cellStyle name="Comma 2_22 Tổng hợp điểm thi của thí sinh dự thi CC ngày 23.24.2012 đã kiểm tra_CHUAN" xfId="14" xr:uid="{00000000-0005-0000-0000-00000F000000}"/>
    <cellStyle name="Comma 26" xfId="15" xr:uid="{00000000-0005-0000-0000-000010000000}"/>
    <cellStyle name="Comma 3" xfId="16" xr:uid="{00000000-0005-0000-0000-000011000000}"/>
    <cellStyle name="Comma 3 2" xfId="17" xr:uid="{00000000-0005-0000-0000-000012000000}"/>
    <cellStyle name="Comma 30" xfId="18" xr:uid="{00000000-0005-0000-0000-000013000000}"/>
    <cellStyle name="Comma 37" xfId="19" xr:uid="{00000000-0005-0000-0000-000014000000}"/>
    <cellStyle name="Comma 4" xfId="20" xr:uid="{00000000-0005-0000-0000-000015000000}"/>
    <cellStyle name="Comma 5" xfId="21" xr:uid="{00000000-0005-0000-0000-000016000000}"/>
    <cellStyle name="Comma 5 5" xfId="22" xr:uid="{00000000-0005-0000-0000-000017000000}"/>
    <cellStyle name="Comma 63" xfId="23" xr:uid="{00000000-0005-0000-0000-000018000000}"/>
    <cellStyle name="Comma 9" xfId="68" xr:uid="{00000000-0005-0000-0000-000019000000}"/>
    <cellStyle name="Comma 9 2" xfId="24" xr:uid="{00000000-0005-0000-0000-00001A000000}"/>
    <cellStyle name="Normal" xfId="0" builtinId="0"/>
    <cellStyle name="Normal 10 2 2" xfId="25" xr:uid="{00000000-0005-0000-0000-00001C000000}"/>
    <cellStyle name="Normal 10 4" xfId="26" xr:uid="{00000000-0005-0000-0000-00001D000000}"/>
    <cellStyle name="Normal 11" xfId="27" xr:uid="{00000000-0005-0000-0000-00001E000000}"/>
    <cellStyle name="Normal 11 2 2" xfId="69" xr:uid="{00000000-0005-0000-0000-00001F000000}"/>
    <cellStyle name="Normal 11 3" xfId="28" xr:uid="{00000000-0005-0000-0000-000020000000}"/>
    <cellStyle name="Normal 14" xfId="29" xr:uid="{00000000-0005-0000-0000-000021000000}"/>
    <cellStyle name="Normal 14 2" xfId="30" xr:uid="{00000000-0005-0000-0000-000022000000}"/>
    <cellStyle name="Normal 177" xfId="31" xr:uid="{00000000-0005-0000-0000-000023000000}"/>
    <cellStyle name="Normal 2" xfId="62" xr:uid="{00000000-0005-0000-0000-000024000000}"/>
    <cellStyle name="Normal 2 10" xfId="32" xr:uid="{00000000-0005-0000-0000-000025000000}"/>
    <cellStyle name="Normal 2 11" xfId="33" xr:uid="{00000000-0005-0000-0000-000026000000}"/>
    <cellStyle name="Normal 2 2" xfId="34" xr:uid="{00000000-0005-0000-0000-000027000000}"/>
    <cellStyle name="Normal 2 2 2 2" xfId="35" xr:uid="{00000000-0005-0000-0000-000028000000}"/>
    <cellStyle name="Normal 2 2 3" xfId="36" xr:uid="{00000000-0005-0000-0000-000029000000}"/>
    <cellStyle name="Normal 2 3 2" xfId="37" xr:uid="{00000000-0005-0000-0000-00002A000000}"/>
    <cellStyle name="Normal 2 9" xfId="38" xr:uid="{00000000-0005-0000-0000-00002B000000}"/>
    <cellStyle name="Normal 22 4" xfId="66" xr:uid="{00000000-0005-0000-0000-00002C000000}"/>
    <cellStyle name="Normal 3 3" xfId="39" xr:uid="{00000000-0005-0000-0000-00002D000000}"/>
    <cellStyle name="Normal 3 4" xfId="40" xr:uid="{00000000-0005-0000-0000-00002E000000}"/>
    <cellStyle name="Normal 3 5" xfId="41" xr:uid="{00000000-0005-0000-0000-00002F000000}"/>
    <cellStyle name="Normal 30" xfId="42" xr:uid="{00000000-0005-0000-0000-000030000000}"/>
    <cellStyle name="Normal 4" xfId="43" xr:uid="{00000000-0005-0000-0000-000031000000}"/>
    <cellStyle name="Normal 40" xfId="63" xr:uid="{00000000-0005-0000-0000-000032000000}"/>
    <cellStyle name="Normal 43" xfId="64" xr:uid="{00000000-0005-0000-0000-000033000000}"/>
    <cellStyle name="Normal 5" xfId="44" xr:uid="{00000000-0005-0000-0000-000034000000}"/>
    <cellStyle name="Normal 5 6" xfId="45" xr:uid="{00000000-0005-0000-0000-000035000000}"/>
    <cellStyle name="Normal 85" xfId="46" xr:uid="{00000000-0005-0000-0000-000036000000}"/>
    <cellStyle name="Normal 87" xfId="47" xr:uid="{00000000-0005-0000-0000-000037000000}"/>
    <cellStyle name="Normal 88" xfId="48" xr:uid="{00000000-0005-0000-0000-000038000000}"/>
    <cellStyle name="Normal 90" xfId="49" xr:uid="{00000000-0005-0000-0000-000039000000}"/>
    <cellStyle name="Normal 92" xfId="50" xr:uid="{00000000-0005-0000-0000-00003A000000}"/>
    <cellStyle name="Normal 93" xfId="51" xr:uid="{00000000-0005-0000-0000-00003B000000}"/>
    <cellStyle name="Normal 94" xfId="52" xr:uid="{00000000-0005-0000-0000-00003C000000}"/>
    <cellStyle name="Normal 96" xfId="53" xr:uid="{00000000-0005-0000-0000-00003D000000}"/>
    <cellStyle name="Normal 97" xfId="54" xr:uid="{00000000-0005-0000-0000-00003E000000}"/>
    <cellStyle name="Normal_BCXDCB98" xfId="55" xr:uid="{00000000-0005-0000-0000-00003F000000}"/>
    <cellStyle name="Normal_Bieu mau (CV )" xfId="56" xr:uid="{00000000-0005-0000-0000-000040000000}"/>
    <cellStyle name="Normal_Bieu mau (CV ) 2 2" xfId="57" xr:uid="{00000000-0005-0000-0000-000041000000}"/>
    <cellStyle name="Normal_Sheet1 (2)" xfId="58" xr:uid="{00000000-0005-0000-0000-000042000000}"/>
    <cellStyle name="Percent" xfId="59" builtinId="5"/>
    <cellStyle name="Percent 2 2 2" xfId="60" xr:uid="{00000000-0005-0000-0000-000044000000}"/>
    <cellStyle name="Percent 2 3" xfId="61" xr:uid="{00000000-0005-0000-0000-000045000000}"/>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Downloads/Copy%20of%20Thu%20tien%20dat%20gui%20phong%20dau%20t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6">
          <cell r="R6">
            <v>845853</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6"/>
  <sheetViews>
    <sheetView topLeftCell="A13" workbookViewId="0">
      <selection activeCell="G10" sqref="G10"/>
    </sheetView>
  </sheetViews>
  <sheetFormatPr defaultRowHeight="15"/>
  <cols>
    <col min="1" max="1" width="6.42578125" customWidth="1"/>
    <col min="2" max="2" width="53.140625" customWidth="1"/>
    <col min="3" max="3" width="13.140625" customWidth="1"/>
    <col min="4" max="4" width="13.42578125" customWidth="1"/>
    <col min="5" max="5" width="14.140625" customWidth="1"/>
    <col min="6" max="6" width="11.42578125" customWidth="1"/>
    <col min="7" max="7" width="13.7109375" customWidth="1"/>
    <col min="8" max="10" width="13.28515625" customWidth="1"/>
    <col min="11" max="11" width="11.42578125" customWidth="1"/>
    <col min="13" max="13" width="10.140625" bestFit="1" customWidth="1"/>
  </cols>
  <sheetData>
    <row r="1" spans="1:15" ht="16.5">
      <c r="A1" s="1093" t="s">
        <v>1390</v>
      </c>
      <c r="B1" s="1093"/>
      <c r="C1" s="1093"/>
      <c r="D1" s="1093"/>
      <c r="E1" s="1093"/>
      <c r="F1" s="1093"/>
      <c r="G1" s="1093"/>
      <c r="H1" s="1093"/>
      <c r="I1" s="1093"/>
      <c r="J1" s="1093"/>
      <c r="K1" s="1093"/>
    </row>
    <row r="2" spans="1:15" ht="16.5">
      <c r="A2" s="1093" t="s">
        <v>1391</v>
      </c>
      <c r="B2" s="1093"/>
      <c r="C2" s="1093"/>
      <c r="D2" s="1093"/>
      <c r="E2" s="1093"/>
      <c r="F2" s="1093"/>
      <c r="G2" s="1093"/>
      <c r="H2" s="1093"/>
      <c r="I2" s="1093"/>
      <c r="J2" s="1093"/>
      <c r="K2" s="1093"/>
    </row>
    <row r="3" spans="1:15" ht="16.5">
      <c r="A3" s="1094" t="s">
        <v>1678</v>
      </c>
      <c r="B3" s="1094"/>
      <c r="C3" s="1094"/>
      <c r="D3" s="1094"/>
      <c r="E3" s="1094"/>
      <c r="F3" s="1094"/>
      <c r="G3" s="1094"/>
      <c r="H3" s="1094"/>
      <c r="I3" s="1094"/>
      <c r="J3" s="1094"/>
      <c r="K3" s="1094"/>
    </row>
    <row r="4" spans="1:15" ht="23.25" customHeight="1">
      <c r="A4" s="56"/>
      <c r="B4" s="56"/>
      <c r="C4" s="6"/>
      <c r="D4" s="6"/>
      <c r="E4" s="6"/>
      <c r="F4" s="6"/>
      <c r="G4" s="6"/>
      <c r="H4" s="57"/>
      <c r="I4" s="1095" t="s">
        <v>1392</v>
      </c>
      <c r="J4" s="1095"/>
      <c r="K4" s="1095"/>
    </row>
    <row r="5" spans="1:15">
      <c r="A5" s="1096"/>
      <c r="B5" s="1096"/>
      <c r="C5" s="1097" t="s">
        <v>1393</v>
      </c>
      <c r="D5" s="1097"/>
      <c r="E5" s="1097"/>
      <c r="F5" s="1097"/>
      <c r="G5" s="1098" t="s">
        <v>1394</v>
      </c>
      <c r="H5" s="1097" t="s">
        <v>1395</v>
      </c>
      <c r="I5" s="1097"/>
      <c r="J5" s="1097"/>
      <c r="K5" s="1097"/>
    </row>
    <row r="6" spans="1:15">
      <c r="A6" s="1096"/>
      <c r="B6" s="1096"/>
      <c r="C6" s="1097" t="s">
        <v>1396</v>
      </c>
      <c r="D6" s="1097" t="s">
        <v>1397</v>
      </c>
      <c r="E6" s="1097"/>
      <c r="F6" s="1097"/>
      <c r="G6" s="1099"/>
      <c r="H6" s="1097" t="s">
        <v>1398</v>
      </c>
      <c r="I6" s="1097" t="s">
        <v>1397</v>
      </c>
      <c r="J6" s="1097"/>
      <c r="K6" s="1097"/>
    </row>
    <row r="7" spans="1:15">
      <c r="A7" s="1096"/>
      <c r="B7" s="1096"/>
      <c r="C7" s="1097"/>
      <c r="D7" s="58" t="s">
        <v>4</v>
      </c>
      <c r="E7" s="58" t="s">
        <v>1399</v>
      </c>
      <c r="F7" s="58" t="s">
        <v>1400</v>
      </c>
      <c r="G7" s="1099"/>
      <c r="H7" s="1097"/>
      <c r="I7" s="58" t="s">
        <v>4</v>
      </c>
      <c r="J7" s="58" t="s">
        <v>1399</v>
      </c>
      <c r="K7" s="58" t="s">
        <v>1400</v>
      </c>
    </row>
    <row r="8" spans="1:15" ht="17.25" customHeight="1">
      <c r="A8" s="59" t="s">
        <v>21</v>
      </c>
      <c r="B8" s="59" t="s">
        <v>22</v>
      </c>
      <c r="C8" s="60">
        <v>1</v>
      </c>
      <c r="D8" s="60" t="s">
        <v>1401</v>
      </c>
      <c r="E8" s="60">
        <v>3</v>
      </c>
      <c r="F8" s="60">
        <v>4</v>
      </c>
      <c r="G8" s="60">
        <v>5</v>
      </c>
      <c r="H8" s="60">
        <v>6</v>
      </c>
      <c r="I8" s="60" t="s">
        <v>1402</v>
      </c>
      <c r="J8" s="60">
        <v>8</v>
      </c>
      <c r="K8" s="60">
        <v>9</v>
      </c>
    </row>
    <row r="9" spans="1:15" s="62" customFormat="1">
      <c r="A9" s="61"/>
      <c r="B9" s="61" t="s">
        <v>1403</v>
      </c>
      <c r="C9" s="124">
        <f t="shared" ref="C9:F9" si="0">C10+C25</f>
        <v>15570936</v>
      </c>
      <c r="D9" s="124">
        <f t="shared" si="0"/>
        <v>24047252.898151997</v>
      </c>
      <c r="E9" s="124">
        <f t="shared" si="0"/>
        <v>24047252.898151997</v>
      </c>
      <c r="F9" s="124">
        <f t="shared" si="0"/>
        <v>1344962.002143</v>
      </c>
      <c r="G9" s="124">
        <f>G10+G26+G39+G40</f>
        <v>21789937.631336797</v>
      </c>
      <c r="H9" s="124">
        <f t="shared" ref="H9:I9" si="1">H10+H26+H39+H40</f>
        <v>14241455</v>
      </c>
      <c r="I9" s="124">
        <f t="shared" si="1"/>
        <v>15221555</v>
      </c>
      <c r="J9" s="124">
        <f>J10+J26+J39+J40</f>
        <v>13938202</v>
      </c>
      <c r="K9" s="124">
        <f>K10+K26+K39+K40</f>
        <v>1283353</v>
      </c>
    </row>
    <row r="10" spans="1:15" s="62" customFormat="1">
      <c r="A10" s="63" t="s">
        <v>36</v>
      </c>
      <c r="B10" s="64" t="s">
        <v>1404</v>
      </c>
      <c r="C10" s="125">
        <f t="shared" ref="C10:F10" si="2">C12+C15+C16+C17</f>
        <v>9815930</v>
      </c>
      <c r="D10" s="125">
        <f t="shared" si="2"/>
        <v>14194577.198151998</v>
      </c>
      <c r="E10" s="125">
        <f t="shared" si="2"/>
        <v>14194577.198151998</v>
      </c>
      <c r="F10" s="125">
        <f t="shared" si="2"/>
        <v>0</v>
      </c>
      <c r="G10" s="125">
        <f>0.9*D10</f>
        <v>12775119.478336798</v>
      </c>
      <c r="H10" s="125">
        <f>H12+H15+H16+H17</f>
        <v>12232900</v>
      </c>
      <c r="I10" s="125">
        <f t="shared" ref="I10:J10" si="3">I12+I15+I16+I17</f>
        <v>13213000</v>
      </c>
      <c r="J10" s="125">
        <f t="shared" si="3"/>
        <v>11929647</v>
      </c>
      <c r="K10" s="125">
        <f>K12+K15+K16+K17</f>
        <v>1283353</v>
      </c>
      <c r="M10" s="121"/>
    </row>
    <row r="11" spans="1:15" s="31" customFormat="1" ht="33.75" customHeight="1">
      <c r="A11" s="68"/>
      <c r="B11" s="69" t="s">
        <v>1614</v>
      </c>
      <c r="C11" s="126"/>
      <c r="D11" s="126"/>
      <c r="E11" s="126"/>
      <c r="F11" s="126"/>
      <c r="G11" s="126"/>
      <c r="H11" s="126">
        <v>273257</v>
      </c>
      <c r="I11" s="126">
        <f>J11</f>
        <v>328297</v>
      </c>
      <c r="J11" s="126">
        <v>328297</v>
      </c>
      <c r="K11" s="126"/>
    </row>
    <row r="12" spans="1:15" s="29" customFormat="1" ht="19.5" customHeight="1">
      <c r="A12" s="65">
        <v>1</v>
      </c>
      <c r="B12" s="66" t="s">
        <v>1405</v>
      </c>
      <c r="C12" s="127">
        <f>C13+C14</f>
        <v>1669830</v>
      </c>
      <c r="D12" s="127">
        <f>D13+D14</f>
        <v>5356077.1981519992</v>
      </c>
      <c r="E12" s="127">
        <f>E13+E14</f>
        <v>5356077.1981519992</v>
      </c>
      <c r="F12" s="127"/>
      <c r="G12" s="127">
        <f t="shared" ref="G12:G17" si="4">D12</f>
        <v>5356077.1981519992</v>
      </c>
      <c r="H12" s="127">
        <f>H13+H14</f>
        <v>1719900</v>
      </c>
      <c r="I12" s="127">
        <f>I13+I14</f>
        <v>1750000</v>
      </c>
      <c r="J12" s="127">
        <v>1312500</v>
      </c>
      <c r="K12" s="127">
        <f>K13+K14</f>
        <v>437500</v>
      </c>
    </row>
    <row r="13" spans="1:15" s="29" customFormat="1" ht="19.5" customHeight="1">
      <c r="A13" s="65" t="s">
        <v>1305</v>
      </c>
      <c r="B13" s="66" t="s">
        <v>1406</v>
      </c>
      <c r="C13" s="127">
        <v>1669830</v>
      </c>
      <c r="D13" s="127">
        <v>2073247</v>
      </c>
      <c r="E13" s="127">
        <v>2073247</v>
      </c>
      <c r="F13" s="127"/>
      <c r="G13" s="127">
        <f t="shared" si="4"/>
        <v>2073247</v>
      </c>
      <c r="H13" s="127">
        <v>1719900</v>
      </c>
      <c r="I13" s="127">
        <v>1750000</v>
      </c>
      <c r="J13" s="127">
        <v>1312500</v>
      </c>
      <c r="K13" s="127">
        <v>437500</v>
      </c>
    </row>
    <row r="14" spans="1:15" s="29" customFormat="1" ht="45">
      <c r="A14" s="65" t="s">
        <v>1374</v>
      </c>
      <c r="B14" s="67" t="s">
        <v>1407</v>
      </c>
      <c r="C14" s="127"/>
      <c r="D14" s="127">
        <v>3282830.1981519992</v>
      </c>
      <c r="E14" s="127">
        <v>3282830.1981519992</v>
      </c>
      <c r="F14" s="127"/>
      <c r="G14" s="127">
        <f t="shared" si="4"/>
        <v>3282830.1981519992</v>
      </c>
      <c r="H14" s="127"/>
      <c r="I14" s="127"/>
      <c r="J14" s="127"/>
      <c r="K14" s="127"/>
    </row>
    <row r="15" spans="1:15" s="29" customFormat="1">
      <c r="A15" s="65">
        <v>2</v>
      </c>
      <c r="B15" s="66" t="s">
        <v>1408</v>
      </c>
      <c r="C15" s="127">
        <v>3760000</v>
      </c>
      <c r="D15" s="127">
        <v>4270400</v>
      </c>
      <c r="E15" s="127">
        <v>4270400</v>
      </c>
      <c r="F15" s="127"/>
      <c r="G15" s="127">
        <f t="shared" si="4"/>
        <v>4270400</v>
      </c>
      <c r="H15" s="127">
        <v>4675000</v>
      </c>
      <c r="I15" s="127">
        <v>5525000</v>
      </c>
      <c r="J15" s="127">
        <f>I15-K15</f>
        <v>4679147</v>
      </c>
      <c r="K15" s="127">
        <f>845853</f>
        <v>845853</v>
      </c>
      <c r="N15" s="239"/>
      <c r="O15" s="239"/>
    </row>
    <row r="16" spans="1:15" s="29" customFormat="1">
      <c r="A16" s="65">
        <v>3</v>
      </c>
      <c r="B16" s="66" t="s">
        <v>1409</v>
      </c>
      <c r="C16" s="127">
        <v>4310000</v>
      </c>
      <c r="D16" s="127">
        <v>4492000</v>
      </c>
      <c r="E16" s="127">
        <v>4492000</v>
      </c>
      <c r="F16" s="127"/>
      <c r="G16" s="127">
        <f t="shared" si="4"/>
        <v>4492000</v>
      </c>
      <c r="H16" s="127">
        <v>5700000</v>
      </c>
      <c r="I16" s="127">
        <v>5800000</v>
      </c>
      <c r="J16" s="127">
        <f>4994000+806000</f>
        <v>5800000</v>
      </c>
      <c r="K16" s="128"/>
      <c r="L16" s="120"/>
    </row>
    <row r="17" spans="1:11" s="29" customFormat="1">
      <c r="A17" s="65">
        <v>4</v>
      </c>
      <c r="B17" s="66" t="s">
        <v>1410</v>
      </c>
      <c r="C17" s="127">
        <v>76100</v>
      </c>
      <c r="D17" s="127">
        <v>76100</v>
      </c>
      <c r="E17" s="127">
        <v>76100</v>
      </c>
      <c r="F17" s="127"/>
      <c r="G17" s="127">
        <f t="shared" si="4"/>
        <v>76100</v>
      </c>
      <c r="H17" s="127">
        <v>138000</v>
      </c>
      <c r="I17" s="127">
        <v>138000</v>
      </c>
      <c r="J17" s="127">
        <v>138000</v>
      </c>
      <c r="K17" s="127"/>
    </row>
    <row r="18" spans="1:11" ht="30" hidden="1">
      <c r="A18" s="68" t="s">
        <v>1411</v>
      </c>
      <c r="B18" s="69" t="s">
        <v>1412</v>
      </c>
      <c r="C18" s="126"/>
      <c r="D18" s="126">
        <f>SUM(D19:D24)</f>
        <v>489731.30000000005</v>
      </c>
      <c r="E18" s="126">
        <f>SUM(E19:E24)</f>
        <v>474728.3</v>
      </c>
      <c r="F18" s="126"/>
      <c r="G18" s="126"/>
      <c r="H18" s="126"/>
      <c r="I18" s="126"/>
      <c r="J18" s="126"/>
      <c r="K18" s="126"/>
    </row>
    <row r="19" spans="1:11" hidden="1">
      <c r="A19" s="68"/>
      <c r="B19" s="69" t="s">
        <v>1413</v>
      </c>
      <c r="C19" s="126"/>
      <c r="D19" s="126">
        <v>291534</v>
      </c>
      <c r="E19" s="126">
        <v>291534</v>
      </c>
      <c r="F19" s="126"/>
      <c r="G19" s="126"/>
      <c r="H19" s="126"/>
      <c r="I19" s="126"/>
      <c r="J19" s="126"/>
      <c r="K19" s="126"/>
    </row>
    <row r="20" spans="1:11" hidden="1">
      <c r="A20" s="68"/>
      <c r="B20" s="69" t="s">
        <v>1413</v>
      </c>
      <c r="C20" s="126"/>
      <c r="D20" s="126">
        <f>0.4* 229988</f>
        <v>91995.200000000012</v>
      </c>
      <c r="E20" s="126">
        <f>0.4*229107</f>
        <v>91642.8</v>
      </c>
      <c r="F20" s="126"/>
      <c r="G20" s="126"/>
      <c r="H20" s="126"/>
      <c r="I20" s="126"/>
      <c r="J20" s="126"/>
      <c r="K20" s="126"/>
    </row>
    <row r="21" spans="1:11" hidden="1">
      <c r="A21" s="68"/>
      <c r="B21" s="70" t="s">
        <v>1414</v>
      </c>
      <c r="C21" s="126"/>
      <c r="D21" s="126">
        <v>9864</v>
      </c>
      <c r="E21" s="126">
        <v>9864</v>
      </c>
      <c r="F21" s="126"/>
      <c r="G21" s="126"/>
      <c r="H21" s="126"/>
      <c r="I21" s="126"/>
      <c r="J21" s="126"/>
      <c r="K21" s="126"/>
    </row>
    <row r="22" spans="1:11" hidden="1">
      <c r="A22" s="68"/>
      <c r="B22" s="70" t="s">
        <v>1414</v>
      </c>
      <c r="C22" s="126"/>
      <c r="D22" s="126">
        <f xml:space="preserve"> 91433 *0.15</f>
        <v>13714.949999999999</v>
      </c>
      <c r="E22" s="126">
        <f>76638*0.15</f>
        <v>11495.699999999999</v>
      </c>
      <c r="F22" s="126"/>
      <c r="G22" s="126"/>
      <c r="H22" s="126"/>
      <c r="I22" s="126"/>
      <c r="J22" s="126"/>
      <c r="K22" s="126"/>
    </row>
    <row r="23" spans="1:11" ht="30" hidden="1">
      <c r="A23" s="68"/>
      <c r="B23" s="71" t="s">
        <v>1415</v>
      </c>
      <c r="C23" s="126"/>
      <c r="D23" s="126">
        <v>43806</v>
      </c>
      <c r="E23" s="126">
        <v>43806</v>
      </c>
      <c r="F23" s="126"/>
      <c r="G23" s="126"/>
      <c r="H23" s="126"/>
      <c r="I23" s="126"/>
      <c r="J23" s="126"/>
      <c r="K23" s="126"/>
    </row>
    <row r="24" spans="1:11" ht="30" hidden="1">
      <c r="A24" s="68"/>
      <c r="B24" s="71" t="s">
        <v>1415</v>
      </c>
      <c r="C24" s="126"/>
      <c r="D24" s="126">
        <f xml:space="preserve"> 258781  *0.15</f>
        <v>38817.15</v>
      </c>
      <c r="E24" s="126">
        <f>263858*0.1</f>
        <v>26385.800000000003</v>
      </c>
      <c r="F24" s="126"/>
      <c r="G24" s="126"/>
      <c r="H24" s="126"/>
      <c r="I24" s="126"/>
      <c r="J24" s="126"/>
      <c r="K24" s="126"/>
    </row>
    <row r="25" spans="1:11" s="62" customFormat="1">
      <c r="A25" s="63" t="s">
        <v>40</v>
      </c>
      <c r="B25" s="64" t="s">
        <v>1416</v>
      </c>
      <c r="C25" s="129">
        <f t="shared" ref="C25:I25" si="5">C26+C38</f>
        <v>5755006</v>
      </c>
      <c r="D25" s="129">
        <f t="shared" si="5"/>
        <v>9852675.6999999993</v>
      </c>
      <c r="E25" s="129">
        <f t="shared" si="5"/>
        <v>9852675.6999999993</v>
      </c>
      <c r="F25" s="129">
        <f t="shared" si="5"/>
        <v>1344962.002143</v>
      </c>
      <c r="G25" s="129">
        <f t="shared" si="5"/>
        <v>9014818.1530000009</v>
      </c>
      <c r="H25" s="129">
        <f t="shared" si="5"/>
        <v>2008555</v>
      </c>
      <c r="I25" s="129">
        <f t="shared" si="5"/>
        <v>2008555</v>
      </c>
      <c r="J25" s="129">
        <v>2008555</v>
      </c>
      <c r="K25" s="129"/>
    </row>
    <row r="26" spans="1:11" s="62" customFormat="1">
      <c r="A26" s="63">
        <v>1</v>
      </c>
      <c r="B26" s="64" t="s">
        <v>1417</v>
      </c>
      <c r="C26" s="125">
        <f>C27+C31+C34</f>
        <v>967960</v>
      </c>
      <c r="D26" s="125">
        <f>D27+D31+D34</f>
        <v>1443799.7</v>
      </c>
      <c r="E26" s="125">
        <f>E27+E31+E34</f>
        <v>1443799.7</v>
      </c>
      <c r="F26" s="125">
        <f>F27+F31+F34</f>
        <v>698643</v>
      </c>
      <c r="G26" s="125">
        <f>0.99*E26</f>
        <v>1429361.703</v>
      </c>
      <c r="H26" s="125"/>
      <c r="I26" s="125"/>
      <c r="J26" s="125"/>
      <c r="K26" s="125"/>
    </row>
    <row r="27" spans="1:11">
      <c r="A27" s="65" t="s">
        <v>39</v>
      </c>
      <c r="B27" s="67" t="s">
        <v>1413</v>
      </c>
      <c r="C27" s="127">
        <v>402529</v>
      </c>
      <c r="D27" s="127">
        <f>D28+D29+D30</f>
        <v>540893.19999999995</v>
      </c>
      <c r="E27" s="127">
        <f>E28+E29+E30</f>
        <v>540893.19999999995</v>
      </c>
      <c r="F27" s="127">
        <f>529315+9248</f>
        <v>538563</v>
      </c>
      <c r="G27" s="127"/>
      <c r="H27" s="127"/>
      <c r="I27" s="127"/>
      <c r="J27" s="127"/>
      <c r="K27" s="127"/>
    </row>
    <row r="28" spans="1:11">
      <c r="A28" s="65" t="s">
        <v>1418</v>
      </c>
      <c r="B28" s="67" t="s">
        <v>1419</v>
      </c>
      <c r="C28" s="127">
        <v>402529</v>
      </c>
      <c r="D28" s="127">
        <v>402529</v>
      </c>
      <c r="E28" s="127">
        <v>402529</v>
      </c>
      <c r="F28" s="127"/>
      <c r="G28" s="127"/>
      <c r="H28" s="127"/>
      <c r="I28" s="127"/>
      <c r="J28" s="127"/>
      <c r="K28" s="127"/>
    </row>
    <row r="29" spans="1:11">
      <c r="A29" s="65" t="s">
        <v>1418</v>
      </c>
      <c r="B29" s="67" t="s">
        <v>1420</v>
      </c>
      <c r="C29" s="127"/>
      <c r="D29" s="127">
        <v>900</v>
      </c>
      <c r="E29" s="127">
        <v>900</v>
      </c>
      <c r="F29" s="127"/>
      <c r="G29" s="127"/>
      <c r="H29" s="127"/>
      <c r="I29" s="127"/>
      <c r="J29" s="127"/>
      <c r="K29" s="127"/>
    </row>
    <row r="30" spans="1:11">
      <c r="A30" s="65" t="s">
        <v>1418</v>
      </c>
      <c r="B30" s="67" t="s">
        <v>1421</v>
      </c>
      <c r="C30" s="127"/>
      <c r="D30" s="127">
        <f>0.6*229107</f>
        <v>137464.19999999998</v>
      </c>
      <c r="E30" s="127">
        <f>0.6*229107</f>
        <v>137464.19999999998</v>
      </c>
      <c r="F30" s="127"/>
      <c r="G30" s="127"/>
      <c r="H30" s="127"/>
      <c r="I30" s="127"/>
      <c r="J30" s="127"/>
      <c r="K30" s="127"/>
    </row>
    <row r="31" spans="1:11">
      <c r="A31" s="65" t="s">
        <v>467</v>
      </c>
      <c r="B31" s="66" t="s">
        <v>1414</v>
      </c>
      <c r="C31" s="127">
        <v>83159</v>
      </c>
      <c r="D31" s="127">
        <f>D32+D33</f>
        <v>148301.29999999999</v>
      </c>
      <c r="E31" s="127">
        <f>E32+E33</f>
        <v>148301.29999999999</v>
      </c>
      <c r="F31" s="127">
        <v>7990</v>
      </c>
      <c r="G31" s="127"/>
      <c r="H31" s="127"/>
      <c r="I31" s="127"/>
      <c r="J31" s="127"/>
      <c r="K31" s="127"/>
    </row>
    <row r="32" spans="1:11">
      <c r="A32" s="65" t="s">
        <v>1418</v>
      </c>
      <c r="B32" s="67" t="s">
        <v>1419</v>
      </c>
      <c r="C32" s="127">
        <v>83159</v>
      </c>
      <c r="D32" s="127">
        <v>83159</v>
      </c>
      <c r="E32" s="127">
        <v>83159</v>
      </c>
      <c r="F32" s="127"/>
      <c r="G32" s="127"/>
      <c r="H32" s="127"/>
      <c r="I32" s="127"/>
      <c r="J32" s="127"/>
      <c r="K32" s="127"/>
    </row>
    <row r="33" spans="1:11">
      <c r="A33" s="65" t="s">
        <v>1418</v>
      </c>
      <c r="B33" s="67" t="s">
        <v>1421</v>
      </c>
      <c r="C33" s="127"/>
      <c r="D33" s="127">
        <f>76638*0.85</f>
        <v>65142.299999999996</v>
      </c>
      <c r="E33" s="127">
        <f>76638*0.85</f>
        <v>65142.299999999996</v>
      </c>
      <c r="F33" s="127"/>
      <c r="G33" s="127"/>
      <c r="H33" s="127"/>
      <c r="I33" s="127"/>
      <c r="J33" s="127"/>
      <c r="K33" s="127"/>
    </row>
    <row r="34" spans="1:11" ht="30">
      <c r="A34" s="65" t="s">
        <v>1306</v>
      </c>
      <c r="B34" s="72" t="s">
        <v>1415</v>
      </c>
      <c r="C34" s="127">
        <v>482272</v>
      </c>
      <c r="D34" s="127">
        <f>D35+D36+D37</f>
        <v>754605.2</v>
      </c>
      <c r="E34" s="127">
        <f>E35+E36+E37</f>
        <v>754605.2</v>
      </c>
      <c r="F34" s="127">
        <f>154128-2038</f>
        <v>152090</v>
      </c>
      <c r="G34" s="127"/>
      <c r="H34" s="127"/>
      <c r="I34" s="127"/>
      <c r="J34" s="127"/>
      <c r="K34" s="127"/>
    </row>
    <row r="35" spans="1:11">
      <c r="A35" s="65" t="s">
        <v>1418</v>
      </c>
      <c r="B35" s="67" t="s">
        <v>1419</v>
      </c>
      <c r="C35" s="127">
        <v>482272</v>
      </c>
      <c r="D35" s="127">
        <v>482272</v>
      </c>
      <c r="E35" s="127">
        <v>482272</v>
      </c>
      <c r="F35" s="127"/>
      <c r="G35" s="127"/>
      <c r="H35" s="127"/>
      <c r="I35" s="127"/>
      <c r="J35" s="127"/>
      <c r="K35" s="127"/>
    </row>
    <row r="36" spans="1:11">
      <c r="A36" s="65" t="s">
        <v>1418</v>
      </c>
      <c r="B36" s="67" t="s">
        <v>1420</v>
      </c>
      <c r="C36" s="127"/>
      <c r="D36" s="127">
        <v>34861</v>
      </c>
      <c r="E36" s="127">
        <v>34861</v>
      </c>
      <c r="F36" s="127"/>
      <c r="G36" s="127"/>
      <c r="H36" s="127"/>
      <c r="I36" s="127"/>
      <c r="J36" s="127"/>
      <c r="K36" s="127"/>
    </row>
    <row r="37" spans="1:11">
      <c r="A37" s="65" t="s">
        <v>1418</v>
      </c>
      <c r="B37" s="67" t="s">
        <v>1421</v>
      </c>
      <c r="C37" s="127"/>
      <c r="D37" s="127">
        <f>263858*0.9</f>
        <v>237472.2</v>
      </c>
      <c r="E37" s="127">
        <f>263858*0.9</f>
        <v>237472.2</v>
      </c>
      <c r="F37" s="127"/>
      <c r="G37" s="127"/>
      <c r="H37" s="127"/>
      <c r="I37" s="127"/>
      <c r="J37" s="127"/>
      <c r="K37" s="127"/>
    </row>
    <row r="38" spans="1:11" s="62" customFormat="1">
      <c r="A38" s="63">
        <v>2</v>
      </c>
      <c r="B38" s="64" t="s">
        <v>1422</v>
      </c>
      <c r="C38" s="125">
        <f t="shared" ref="C38:K38" si="6">C39+C40</f>
        <v>4787046</v>
      </c>
      <c r="D38" s="125">
        <f t="shared" si="6"/>
        <v>8408876</v>
      </c>
      <c r="E38" s="125">
        <f t="shared" si="6"/>
        <v>8408876</v>
      </c>
      <c r="F38" s="125">
        <f t="shared" si="6"/>
        <v>646319.00214300002</v>
      </c>
      <c r="G38" s="125">
        <f>G39+G40</f>
        <v>7585456.4500000002</v>
      </c>
      <c r="H38" s="125">
        <f t="shared" si="6"/>
        <v>2008555</v>
      </c>
      <c r="I38" s="125">
        <f t="shared" si="6"/>
        <v>2008555</v>
      </c>
      <c r="J38" s="125">
        <f t="shared" si="6"/>
        <v>2008555</v>
      </c>
      <c r="K38" s="125">
        <f t="shared" si="6"/>
        <v>0</v>
      </c>
    </row>
    <row r="39" spans="1:11">
      <c r="A39" s="65" t="s">
        <v>39</v>
      </c>
      <c r="B39" s="66" t="s">
        <v>1423</v>
      </c>
      <c r="C39" s="127">
        <v>349361</v>
      </c>
      <c r="D39" s="127">
        <v>349361</v>
      </c>
      <c r="E39" s="127">
        <v>349361</v>
      </c>
      <c r="F39" s="127"/>
      <c r="G39" s="127">
        <f>0.95*E39</f>
        <v>331892.95</v>
      </c>
      <c r="H39" s="127">
        <v>299917</v>
      </c>
      <c r="I39" s="127">
        <f>J39+K39</f>
        <v>299917</v>
      </c>
      <c r="J39" s="127">
        <v>299917</v>
      </c>
      <c r="K39" s="127"/>
    </row>
    <row r="40" spans="1:11">
      <c r="A40" s="65" t="s">
        <v>467</v>
      </c>
      <c r="B40" s="66" t="s">
        <v>1424</v>
      </c>
      <c r="C40" s="127">
        <f>C41</f>
        <v>4437685</v>
      </c>
      <c r="D40" s="127">
        <f>D41+D42+D46</f>
        <v>8059515</v>
      </c>
      <c r="E40" s="127">
        <f>E41+E42+E46</f>
        <v>8059515</v>
      </c>
      <c r="F40" s="127">
        <v>646319.00214300002</v>
      </c>
      <c r="G40" s="127">
        <f>0.9*E40</f>
        <v>7253563.5</v>
      </c>
      <c r="H40" s="127">
        <f>H41</f>
        <v>1708638</v>
      </c>
      <c r="I40" s="127">
        <f>I41</f>
        <v>1708638</v>
      </c>
      <c r="J40" s="127">
        <f>J41</f>
        <v>1708638</v>
      </c>
      <c r="K40" s="127">
        <f>K41+K42+K46</f>
        <v>0</v>
      </c>
    </row>
    <row r="41" spans="1:11">
      <c r="A41" s="65" t="s">
        <v>1418</v>
      </c>
      <c r="B41" s="66" t="s">
        <v>1419</v>
      </c>
      <c r="C41" s="127">
        <v>4437685</v>
      </c>
      <c r="D41" s="127">
        <v>4437685</v>
      </c>
      <c r="E41" s="127">
        <v>4437685</v>
      </c>
      <c r="F41" s="127"/>
      <c r="G41" s="127"/>
      <c r="H41" s="127">
        <v>1708638</v>
      </c>
      <c r="I41" s="127">
        <f>J41</f>
        <v>1708638</v>
      </c>
      <c r="J41" s="127">
        <v>1708638</v>
      </c>
      <c r="K41" s="127"/>
    </row>
    <row r="42" spans="1:11">
      <c r="A42" s="65" t="s">
        <v>1418</v>
      </c>
      <c r="B42" s="67" t="s">
        <v>1420</v>
      </c>
      <c r="C42" s="127"/>
      <c r="D42" s="127">
        <f>D43+D44+D45</f>
        <v>3437868</v>
      </c>
      <c r="E42" s="127">
        <f>E43+E44+E45</f>
        <v>3437868</v>
      </c>
      <c r="F42" s="127"/>
      <c r="G42" s="127">
        <f>0</f>
        <v>0</v>
      </c>
      <c r="H42" s="127"/>
      <c r="I42" s="127"/>
      <c r="J42" s="127"/>
      <c r="K42" s="127"/>
    </row>
    <row r="43" spans="1:11" ht="30" hidden="1">
      <c r="A43" s="73" t="s">
        <v>502</v>
      </c>
      <c r="B43" s="67" t="s">
        <v>1425</v>
      </c>
      <c r="C43" s="127"/>
      <c r="D43" s="127">
        <v>312402</v>
      </c>
      <c r="E43" s="127">
        <v>312402</v>
      </c>
      <c r="F43" s="127"/>
      <c r="G43" s="127"/>
      <c r="H43" s="127"/>
      <c r="I43" s="127"/>
      <c r="J43" s="127"/>
      <c r="K43" s="127"/>
    </row>
    <row r="44" spans="1:11" ht="45" hidden="1">
      <c r="A44" s="73" t="s">
        <v>502</v>
      </c>
      <c r="B44" s="67" t="s">
        <v>1426</v>
      </c>
      <c r="C44" s="127"/>
      <c r="D44" s="127">
        <v>114000</v>
      </c>
      <c r="E44" s="127">
        <v>114000</v>
      </c>
      <c r="F44" s="127"/>
      <c r="G44" s="127"/>
      <c r="H44" s="127"/>
      <c r="I44" s="127"/>
      <c r="J44" s="127"/>
      <c r="K44" s="127"/>
    </row>
    <row r="45" spans="1:11" ht="60" hidden="1">
      <c r="A45" s="73" t="s">
        <v>502</v>
      </c>
      <c r="B45" s="67" t="s">
        <v>1427</v>
      </c>
      <c r="C45" s="127"/>
      <c r="D45" s="127">
        <v>3011466</v>
      </c>
      <c r="E45" s="127">
        <v>3011466</v>
      </c>
      <c r="F45" s="127"/>
      <c r="G45" s="127"/>
      <c r="H45" s="127"/>
      <c r="I45" s="127"/>
      <c r="J45" s="127"/>
      <c r="K45" s="127"/>
    </row>
    <row r="46" spans="1:11">
      <c r="A46" s="74" t="s">
        <v>1418</v>
      </c>
      <c r="B46" s="75" t="s">
        <v>1421</v>
      </c>
      <c r="C46" s="130"/>
      <c r="D46" s="130">
        <v>183962</v>
      </c>
      <c r="E46" s="130">
        <v>183962</v>
      </c>
      <c r="F46" s="130"/>
      <c r="G46" s="130">
        <f>1*E46</f>
        <v>183962</v>
      </c>
      <c r="H46" s="130"/>
      <c r="I46" s="130"/>
      <c r="J46" s="130"/>
      <c r="K46" s="130"/>
    </row>
  </sheetData>
  <mergeCells count="13">
    <mergeCell ref="A1:K1"/>
    <mergeCell ref="A2:K2"/>
    <mergeCell ref="A3:K3"/>
    <mergeCell ref="I4:K4"/>
    <mergeCell ref="A5:A7"/>
    <mergeCell ref="B5:B7"/>
    <mergeCell ref="C5:F5"/>
    <mergeCell ref="G5:G7"/>
    <mergeCell ref="H5:K5"/>
    <mergeCell ref="C6:C7"/>
    <mergeCell ref="D6:F6"/>
    <mergeCell ref="H6:H7"/>
    <mergeCell ref="I6:K6"/>
  </mergeCells>
  <printOptions horizontalCentered="1"/>
  <pageMargins left="0.4" right="0" top="0.6" bottom="0.5" header="0.31496062992126" footer="0.31496062992126"/>
  <pageSetup paperSize="9"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V92"/>
  <sheetViews>
    <sheetView showZeros="0" tabSelected="1" zoomScale="89" zoomScaleNormal="89" workbookViewId="0">
      <pane xSplit="3" ySplit="9" topLeftCell="D10" activePane="bottomRight" state="frozen"/>
      <selection pane="topRight" activeCell="D1" sqref="D1"/>
      <selection pane="bottomLeft" activeCell="A10" sqref="A10"/>
      <selection pane="bottomRight" activeCell="G96" sqref="G96"/>
    </sheetView>
  </sheetViews>
  <sheetFormatPr defaultColWidth="11.140625" defaultRowHeight="21" customHeight="1"/>
  <cols>
    <col min="1" max="1" width="6.5703125" style="1" customWidth="1"/>
    <col min="2" max="2" width="46.140625" style="1" customWidth="1"/>
    <col min="3" max="3" width="15" style="1" customWidth="1"/>
    <col min="4" max="4" width="10.42578125" style="256" customWidth="1"/>
    <col min="5" max="5" width="11" style="256" customWidth="1"/>
    <col min="6" max="6" width="9.7109375" style="256" customWidth="1"/>
    <col min="7" max="7" width="11.42578125" style="256" customWidth="1"/>
    <col min="8" max="9" width="10.140625" style="256" customWidth="1"/>
    <col min="10" max="10" width="11.7109375" style="1" customWidth="1"/>
    <col min="11" max="11" width="9.7109375" style="1" customWidth="1"/>
    <col min="12" max="12" width="10.42578125" style="1" customWidth="1"/>
    <col min="13" max="13" width="12.28515625" style="1" customWidth="1"/>
    <col min="14" max="14" width="12.28515625" style="256" customWidth="1"/>
    <col min="15" max="16" width="13.28515625" style="1" customWidth="1"/>
    <col min="17" max="17" width="10.28515625" style="1" customWidth="1"/>
    <col min="18" max="18" width="11.7109375" style="1" customWidth="1"/>
    <col min="19" max="19" width="16.5703125" style="114" customWidth="1"/>
    <col min="20" max="28" width="11.5703125" style="114" customWidth="1"/>
    <col min="29" max="239" width="11.5703125" style="1" customWidth="1"/>
    <col min="240" max="240" width="6.5703125" style="1" customWidth="1"/>
    <col min="241" max="241" width="40.28515625" style="1" customWidth="1"/>
    <col min="242" max="16384" width="11.140625" style="1"/>
  </cols>
  <sheetData>
    <row r="1" spans="1:256" ht="51.75" customHeight="1">
      <c r="A1" s="284"/>
      <c r="B1" s="284"/>
      <c r="C1" s="285"/>
      <c r="D1" s="286"/>
      <c r="E1" s="1106" t="s">
        <v>1390</v>
      </c>
      <c r="F1" s="1106"/>
      <c r="G1" s="1106"/>
      <c r="H1" s="1106"/>
      <c r="I1" s="1106"/>
      <c r="J1" s="1106"/>
      <c r="K1" s="1106"/>
      <c r="L1" s="1106"/>
      <c r="M1" s="285"/>
      <c r="N1" s="286"/>
      <c r="O1" s="1102" t="s">
        <v>1827</v>
      </c>
      <c r="P1" s="1102"/>
      <c r="Q1" s="1102"/>
      <c r="R1" s="1102"/>
    </row>
    <row r="2" spans="1:256" s="2" customFormat="1" ht="21.75" customHeight="1">
      <c r="A2" s="1104" t="s">
        <v>0</v>
      </c>
      <c r="B2" s="1104"/>
      <c r="C2" s="1104"/>
      <c r="D2" s="1104"/>
      <c r="E2" s="1104"/>
      <c r="F2" s="1104"/>
      <c r="G2" s="1104"/>
      <c r="H2" s="1104"/>
      <c r="I2" s="1104"/>
      <c r="J2" s="1104"/>
      <c r="K2" s="1104"/>
      <c r="L2" s="1104"/>
      <c r="M2" s="1104"/>
      <c r="N2" s="1104"/>
      <c r="O2" s="1104"/>
      <c r="P2" s="1104"/>
      <c r="Q2" s="1104"/>
      <c r="R2" s="1104"/>
      <c r="S2" s="115"/>
      <c r="T2" s="115"/>
      <c r="U2" s="115"/>
      <c r="V2" s="115"/>
      <c r="W2" s="115"/>
      <c r="X2" s="115"/>
      <c r="Y2" s="115"/>
      <c r="Z2" s="115"/>
      <c r="AA2" s="115"/>
      <c r="AB2" s="115"/>
    </row>
    <row r="3" spans="1:256" s="2" customFormat="1" ht="21.75" customHeight="1">
      <c r="A3" s="1104" t="s">
        <v>181</v>
      </c>
      <c r="B3" s="1104"/>
      <c r="C3" s="1104"/>
      <c r="D3" s="1104"/>
      <c r="E3" s="1104"/>
      <c r="F3" s="1104"/>
      <c r="G3" s="1104"/>
      <c r="H3" s="1104"/>
      <c r="I3" s="1104"/>
      <c r="J3" s="1104"/>
      <c r="K3" s="1104"/>
      <c r="L3" s="1104"/>
      <c r="M3" s="1104"/>
      <c r="N3" s="1104"/>
      <c r="O3" s="1104"/>
      <c r="P3" s="1104"/>
      <c r="Q3" s="1104"/>
      <c r="R3" s="1104"/>
      <c r="S3" s="115"/>
      <c r="T3" s="115"/>
      <c r="U3" s="115"/>
      <c r="V3" s="115"/>
      <c r="W3" s="115"/>
      <c r="X3" s="115"/>
      <c r="Y3" s="115"/>
      <c r="Z3" s="115"/>
      <c r="AA3" s="115"/>
      <c r="AB3" s="115"/>
    </row>
    <row r="4" spans="1:256" s="2" customFormat="1" ht="21.75" customHeight="1">
      <c r="A4" s="1105" t="s">
        <v>1881</v>
      </c>
      <c r="B4" s="1105"/>
      <c r="C4" s="1105"/>
      <c r="D4" s="1105"/>
      <c r="E4" s="1105"/>
      <c r="F4" s="1105"/>
      <c r="G4" s="1105"/>
      <c r="H4" s="1105"/>
      <c r="I4" s="1105"/>
      <c r="J4" s="1105"/>
      <c r="K4" s="1105"/>
      <c r="L4" s="1105"/>
      <c r="M4" s="1105"/>
      <c r="N4" s="1105"/>
      <c r="O4" s="1105"/>
      <c r="P4" s="1105"/>
      <c r="Q4" s="1105"/>
      <c r="R4" s="1105"/>
      <c r="S4" s="301"/>
      <c r="T4" s="301"/>
      <c r="U4" s="115"/>
      <c r="V4" s="115"/>
      <c r="W4" s="115"/>
      <c r="X4" s="115"/>
      <c r="Y4" s="115"/>
      <c r="Z4" s="115"/>
      <c r="AA4" s="115"/>
      <c r="AB4" s="115"/>
    </row>
    <row r="5" spans="1:256" ht="21" customHeight="1">
      <c r="A5" s="51"/>
      <c r="B5" s="51"/>
      <c r="C5" s="52"/>
      <c r="D5" s="249"/>
      <c r="E5" s="249"/>
      <c r="F5" s="249"/>
      <c r="G5" s="250"/>
      <c r="H5" s="250"/>
      <c r="I5" s="250"/>
      <c r="J5" s="53"/>
      <c r="K5" s="53"/>
      <c r="L5" s="53"/>
      <c r="M5" s="53"/>
      <c r="N5" s="250"/>
      <c r="O5" s="53"/>
      <c r="P5" s="1103" t="s">
        <v>1</v>
      </c>
      <c r="Q5" s="1103"/>
      <c r="R5" s="1103"/>
    </row>
    <row r="6" spans="1:256" ht="25.5" customHeight="1">
      <c r="A6" s="1100" t="s">
        <v>2</v>
      </c>
      <c r="B6" s="1108" t="s">
        <v>3</v>
      </c>
      <c r="C6" s="1107" t="s">
        <v>4</v>
      </c>
      <c r="D6" s="1101" t="s">
        <v>5</v>
      </c>
      <c r="E6" s="1101" t="s">
        <v>6</v>
      </c>
      <c r="F6" s="1101" t="s">
        <v>7</v>
      </c>
      <c r="G6" s="1101" t="s">
        <v>8</v>
      </c>
      <c r="H6" s="1101" t="s">
        <v>9</v>
      </c>
      <c r="I6" s="1101" t="s">
        <v>10</v>
      </c>
      <c r="J6" s="1100" t="s">
        <v>11</v>
      </c>
      <c r="K6" s="1100" t="s">
        <v>12</v>
      </c>
      <c r="L6" s="1100" t="s">
        <v>13</v>
      </c>
      <c r="M6" s="1100" t="s">
        <v>14</v>
      </c>
      <c r="N6" s="1100" t="s">
        <v>15</v>
      </c>
      <c r="O6" s="1100"/>
      <c r="P6" s="1100" t="s">
        <v>16</v>
      </c>
      <c r="Q6" s="1100" t="s">
        <v>17</v>
      </c>
      <c r="R6" s="1100" t="s">
        <v>18</v>
      </c>
      <c r="T6" s="270" t="e">
        <f>+'PL 02'!W11+'PL 03'!W11+'PL 04'!W11+#REF!+'PL 01'!C81</f>
        <v>#REF!</v>
      </c>
      <c r="U6" s="270" t="e">
        <f>+'PL 02'!W11+'PL 03'!W11+'PL 04'!W11+#REF!+306000</f>
        <v>#REF!</v>
      </c>
      <c r="V6" s="270" t="e">
        <f>+C9-U6</f>
        <v>#REF!</v>
      </c>
    </row>
    <row r="7" spans="1:256" ht="84" customHeight="1">
      <c r="A7" s="1107"/>
      <c r="B7" s="1109"/>
      <c r="C7" s="1107"/>
      <c r="D7" s="1101"/>
      <c r="E7" s="1101"/>
      <c r="F7" s="1101"/>
      <c r="G7" s="1101"/>
      <c r="H7" s="1101"/>
      <c r="I7" s="1101"/>
      <c r="J7" s="1100"/>
      <c r="K7" s="1100"/>
      <c r="L7" s="1100"/>
      <c r="M7" s="1100"/>
      <c r="N7" s="257" t="s">
        <v>19</v>
      </c>
      <c r="O7" s="22" t="s">
        <v>20</v>
      </c>
      <c r="P7" s="1100"/>
      <c r="Q7" s="1100"/>
      <c r="R7" s="1100"/>
      <c r="S7" s="270">
        <f>+N9-8857172</f>
        <v>466549.89499999955</v>
      </c>
      <c r="T7" s="270">
        <f>+C9-'01'!J9</f>
        <v>5.9488425031304359E-2</v>
      </c>
      <c r="U7" s="270">
        <f>+C9-'01'!J9</f>
        <v>5.9488425031304359E-2</v>
      </c>
      <c r="V7" s="270">
        <f>+C9-13938202</f>
        <v>5.9488425031304359E-2</v>
      </c>
      <c r="W7" s="270">
        <f>+D9+E9+F9+G9+H9+I9+J9+K9+L9+M9+P9+Q9+R9</f>
        <v>13938202.059488425</v>
      </c>
    </row>
    <row r="8" spans="1:256" s="2" customFormat="1" ht="21" customHeight="1">
      <c r="A8" s="3" t="s">
        <v>21</v>
      </c>
      <c r="B8" s="3" t="s">
        <v>22</v>
      </c>
      <c r="C8" s="3">
        <v>1</v>
      </c>
      <c r="D8" s="251">
        <v>2</v>
      </c>
      <c r="E8" s="251">
        <v>3</v>
      </c>
      <c r="F8" s="251">
        <v>4</v>
      </c>
      <c r="G8" s="251">
        <v>5</v>
      </c>
      <c r="H8" s="251">
        <v>6</v>
      </c>
      <c r="I8" s="251">
        <v>7</v>
      </c>
      <c r="J8" s="4">
        <v>8</v>
      </c>
      <c r="K8" s="4">
        <v>9</v>
      </c>
      <c r="L8" s="4">
        <v>10</v>
      </c>
      <c r="M8" s="4">
        <v>11</v>
      </c>
      <c r="N8" s="251">
        <v>12</v>
      </c>
      <c r="O8" s="4">
        <v>13</v>
      </c>
      <c r="P8" s="4">
        <v>14</v>
      </c>
      <c r="Q8" s="4">
        <v>15</v>
      </c>
      <c r="R8" s="4">
        <v>16</v>
      </c>
      <c r="S8" s="115">
        <v>13131873</v>
      </c>
      <c r="T8" s="115"/>
      <c r="U8" s="115"/>
      <c r="V8" s="115"/>
      <c r="W8" s="115"/>
      <c r="X8" s="115"/>
      <c r="Y8" s="115"/>
      <c r="Z8" s="115"/>
      <c r="AA8" s="115"/>
      <c r="AB8" s="115"/>
    </row>
    <row r="9" spans="1:256" s="5" customFormat="1" ht="21" customHeight="1">
      <c r="A9" s="135"/>
      <c r="B9" s="135" t="s">
        <v>23</v>
      </c>
      <c r="C9" s="54">
        <f>SUM(C10:C82)</f>
        <v>13938202.059488425</v>
      </c>
      <c r="D9" s="1149">
        <f>SUM(D10:D81)</f>
        <v>712584</v>
      </c>
      <c r="E9" s="1149">
        <f t="shared" ref="E9:P9" si="0">SUM(E10:E81)</f>
        <v>290099.59999999998</v>
      </c>
      <c r="F9" s="1149">
        <f t="shared" si="0"/>
        <v>36532</v>
      </c>
      <c r="G9" s="1149">
        <f t="shared" si="0"/>
        <v>32079.397000000001</v>
      </c>
      <c r="H9" s="1149">
        <f t="shared" si="0"/>
        <v>226610.24048842525</v>
      </c>
      <c r="I9" s="1149">
        <f t="shared" si="0"/>
        <v>148927.4</v>
      </c>
      <c r="J9" s="1150">
        <f t="shared" si="0"/>
        <v>40011</v>
      </c>
      <c r="K9" s="1150">
        <f t="shared" si="0"/>
        <v>35000</v>
      </c>
      <c r="L9" s="1150">
        <f>SUM(L10:L81)</f>
        <v>70064</v>
      </c>
      <c r="M9" s="1150">
        <f>SUM(M10:M82)</f>
        <v>11608842.995000001</v>
      </c>
      <c r="N9" s="1149">
        <f>SUM(N10:N82)</f>
        <v>9323721.8949999996</v>
      </c>
      <c r="O9" s="1150">
        <f t="shared" si="0"/>
        <v>1387589.1</v>
      </c>
      <c r="P9" s="1150">
        <f t="shared" si="0"/>
        <v>79292.426999999996</v>
      </c>
      <c r="Q9" s="1150">
        <f>SUM(Q10:Q81)</f>
        <v>417559</v>
      </c>
      <c r="R9" s="1150">
        <f>SUM(R10:R82)</f>
        <v>240600</v>
      </c>
      <c r="S9" s="271">
        <f>V9/C9</f>
        <v>1.4392100153508797E-2</v>
      </c>
      <c r="T9" s="272">
        <f>+D9+E9+F9+G9+H9+I9+J9+K9+L9+M9+P9+Q9+R9</f>
        <v>13938202.059488425</v>
      </c>
      <c r="U9" s="273">
        <f>S9*100</f>
        <v>1.4392100153508798</v>
      </c>
      <c r="V9" s="272">
        <f>R9-40000</f>
        <v>200600</v>
      </c>
      <c r="W9" s="272">
        <f>M9+40000</f>
        <v>11648842.995000001</v>
      </c>
      <c r="X9" s="274"/>
      <c r="Y9" s="274"/>
      <c r="Z9" s="274"/>
      <c r="AA9" s="274"/>
      <c r="AB9" s="274"/>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c r="CX9" s="30"/>
      <c r="CY9" s="30"/>
      <c r="CZ9" s="30"/>
      <c r="DA9" s="30"/>
      <c r="DB9" s="30"/>
      <c r="DC9" s="30"/>
      <c r="DD9" s="30"/>
      <c r="DE9" s="30"/>
      <c r="DF9" s="30"/>
      <c r="DG9" s="30"/>
      <c r="DH9" s="30"/>
      <c r="DI9" s="30"/>
      <c r="DJ9" s="30"/>
      <c r="DK9" s="30"/>
      <c r="DL9" s="30"/>
      <c r="DM9" s="30"/>
      <c r="DN9" s="30"/>
      <c r="DO9" s="30"/>
      <c r="DP9" s="30"/>
      <c r="DQ9" s="30"/>
      <c r="DR9" s="30"/>
      <c r="DS9" s="30"/>
      <c r="DT9" s="30"/>
      <c r="DU9" s="30"/>
      <c r="DV9" s="30"/>
      <c r="DW9" s="30"/>
      <c r="DX9" s="30"/>
      <c r="DY9" s="30"/>
      <c r="DZ9" s="30"/>
      <c r="EA9" s="30"/>
      <c r="EB9" s="30"/>
      <c r="EC9" s="30"/>
      <c r="ED9" s="30"/>
      <c r="EE9" s="30"/>
      <c r="EF9" s="30"/>
      <c r="EG9" s="30"/>
      <c r="EH9" s="30"/>
      <c r="EI9" s="30"/>
      <c r="EJ9" s="30"/>
      <c r="EK9" s="30"/>
      <c r="EL9" s="30"/>
      <c r="EM9" s="30"/>
      <c r="EN9" s="30"/>
      <c r="EO9" s="30"/>
      <c r="EP9" s="30"/>
      <c r="EQ9" s="30"/>
      <c r="ER9" s="30"/>
      <c r="ES9" s="30"/>
      <c r="ET9" s="30"/>
      <c r="EU9" s="30"/>
      <c r="EV9" s="30"/>
      <c r="EW9" s="30"/>
      <c r="EX9" s="30"/>
      <c r="EY9" s="30"/>
      <c r="EZ9" s="30"/>
      <c r="FA9" s="30"/>
      <c r="FB9" s="30"/>
      <c r="FC9" s="30"/>
      <c r="FD9" s="30"/>
      <c r="FE9" s="30"/>
      <c r="FF9" s="30"/>
      <c r="FG9" s="30"/>
      <c r="FH9" s="30"/>
      <c r="FI9" s="30"/>
      <c r="FJ9" s="30"/>
      <c r="FK9" s="30"/>
      <c r="FL9" s="30"/>
      <c r="FM9" s="30"/>
      <c r="FN9" s="30"/>
      <c r="FO9" s="30"/>
      <c r="FP9" s="30"/>
      <c r="FQ9" s="30"/>
      <c r="FR9" s="30"/>
      <c r="FS9" s="30"/>
      <c r="FT9" s="30"/>
      <c r="FU9" s="30"/>
      <c r="FV9" s="30"/>
      <c r="FW9" s="30"/>
      <c r="FX9" s="30"/>
      <c r="FY9" s="30"/>
      <c r="FZ9" s="30"/>
      <c r="GA9" s="30"/>
      <c r="GB9" s="30"/>
      <c r="GC9" s="30"/>
      <c r="GD9" s="30"/>
      <c r="GE9" s="30"/>
      <c r="GF9" s="30"/>
      <c r="GG9" s="30"/>
      <c r="GH9" s="30"/>
      <c r="GI9" s="30"/>
      <c r="GJ9" s="30"/>
      <c r="GK9" s="30"/>
      <c r="GL9" s="30"/>
      <c r="GM9" s="30"/>
      <c r="GN9" s="30"/>
      <c r="GO9" s="30"/>
      <c r="GP9" s="30"/>
      <c r="GQ9" s="30"/>
      <c r="GR9" s="30"/>
      <c r="GS9" s="30"/>
      <c r="GT9" s="30"/>
      <c r="GU9" s="30"/>
      <c r="GV9" s="30"/>
      <c r="GW9" s="30"/>
      <c r="GX9" s="30"/>
      <c r="GY9" s="30"/>
      <c r="GZ9" s="30"/>
      <c r="HA9" s="30"/>
      <c r="HB9" s="30"/>
      <c r="HC9" s="30"/>
      <c r="HD9" s="30"/>
      <c r="HE9" s="30"/>
      <c r="HF9" s="30"/>
      <c r="HG9" s="30"/>
      <c r="HH9" s="30"/>
      <c r="HI9" s="30"/>
      <c r="HJ9" s="30"/>
      <c r="HK9" s="30"/>
      <c r="HL9" s="30"/>
      <c r="HM9" s="30"/>
      <c r="HN9" s="30"/>
      <c r="HO9" s="30"/>
      <c r="HP9" s="30"/>
      <c r="HQ9" s="30"/>
      <c r="HR9" s="30"/>
      <c r="HS9" s="30"/>
      <c r="HT9" s="30"/>
      <c r="HU9" s="30"/>
      <c r="HV9" s="30"/>
      <c r="HW9" s="30"/>
      <c r="HX9" s="30"/>
      <c r="HY9" s="30"/>
      <c r="HZ9" s="30"/>
      <c r="IA9" s="30"/>
      <c r="IB9" s="30"/>
      <c r="IC9" s="30"/>
      <c r="ID9" s="30"/>
      <c r="IE9" s="30"/>
      <c r="IF9" s="30"/>
      <c r="IG9" s="30"/>
      <c r="IH9" s="30"/>
      <c r="II9" s="30"/>
      <c r="IJ9" s="30"/>
      <c r="IK9" s="30"/>
      <c r="IL9" s="30"/>
      <c r="IM9" s="30"/>
      <c r="IN9" s="30"/>
      <c r="IO9" s="30"/>
      <c r="IP9" s="30"/>
      <c r="IQ9" s="30"/>
      <c r="IR9" s="30"/>
      <c r="IS9" s="30"/>
      <c r="IT9" s="30"/>
      <c r="IU9" s="30"/>
      <c r="IV9" s="30"/>
    </row>
    <row r="10" spans="1:256" s="2" customFormat="1" ht="21" customHeight="1">
      <c r="A10" s="136">
        <v>1</v>
      </c>
      <c r="B10" s="137" t="s">
        <v>124</v>
      </c>
      <c r="C10" s="47">
        <f>SUM(D10:M10)+SUM(P10:R10)</f>
        <v>531641</v>
      </c>
      <c r="D10" s="252"/>
      <c r="E10" s="252"/>
      <c r="F10" s="252"/>
      <c r="G10" s="252"/>
      <c r="H10" s="252"/>
      <c r="I10" s="252"/>
      <c r="J10" s="47"/>
      <c r="K10" s="47"/>
      <c r="L10" s="47"/>
      <c r="M10" s="47">
        <f>+N10+O10+'PL 04'!W943</f>
        <v>531641</v>
      </c>
      <c r="N10" s="252"/>
      <c r="O10" s="47">
        <f>+'PL 04'!W307+'PL 03'!W14+'PL 02'!W14</f>
        <v>63641</v>
      </c>
      <c r="P10" s="47"/>
      <c r="Q10" s="47"/>
      <c r="R10" s="47"/>
      <c r="S10" s="116">
        <f>+M10-N10-O10</f>
        <v>468000</v>
      </c>
      <c r="T10" s="275"/>
      <c r="U10" s="116">
        <f>+M10-N10-O10</f>
        <v>468000</v>
      </c>
      <c r="V10" s="275"/>
      <c r="W10" s="275">
        <f>W9/C9</f>
        <v>0.83574932730079454</v>
      </c>
      <c r="X10" s="275">
        <f>W10*100</f>
        <v>83.574932730079453</v>
      </c>
      <c r="Y10" s="275"/>
      <c r="Z10" s="275"/>
      <c r="AA10" s="275"/>
      <c r="AB10" s="275"/>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c r="BV10" s="50"/>
      <c r="BW10" s="50"/>
      <c r="BX10" s="50"/>
      <c r="BY10" s="50"/>
      <c r="BZ10" s="50"/>
      <c r="CA10" s="50"/>
      <c r="CB10" s="50"/>
      <c r="CC10" s="50"/>
      <c r="CD10" s="50"/>
      <c r="CE10" s="50"/>
      <c r="CF10" s="50"/>
      <c r="CG10" s="50"/>
      <c r="CH10" s="50"/>
      <c r="CI10" s="50"/>
      <c r="CJ10" s="50"/>
      <c r="CK10" s="50"/>
      <c r="CL10" s="50"/>
      <c r="CM10" s="50"/>
      <c r="CN10" s="50"/>
      <c r="CO10" s="50"/>
      <c r="CP10" s="50"/>
      <c r="CQ10" s="50"/>
      <c r="CR10" s="50"/>
      <c r="CS10" s="50"/>
      <c r="CT10" s="50"/>
      <c r="CU10" s="50"/>
      <c r="CV10" s="50"/>
      <c r="CW10" s="50"/>
      <c r="CX10" s="50"/>
      <c r="CY10" s="50"/>
      <c r="CZ10" s="50"/>
      <c r="DA10" s="50"/>
      <c r="DB10" s="50"/>
      <c r="DC10" s="50"/>
      <c r="DD10" s="50"/>
      <c r="DE10" s="50"/>
      <c r="DF10" s="50"/>
      <c r="DG10" s="50"/>
      <c r="DH10" s="50"/>
      <c r="DI10" s="50"/>
      <c r="DJ10" s="50"/>
      <c r="DK10" s="50"/>
      <c r="DL10" s="50"/>
      <c r="DM10" s="50"/>
      <c r="DN10" s="50"/>
      <c r="DO10" s="50"/>
      <c r="DP10" s="50"/>
      <c r="DQ10" s="50"/>
      <c r="DR10" s="50"/>
      <c r="DS10" s="50"/>
      <c r="DT10" s="50"/>
      <c r="DU10" s="50"/>
      <c r="DV10" s="50"/>
      <c r="DW10" s="50"/>
      <c r="DX10" s="50"/>
      <c r="DY10" s="50"/>
      <c r="DZ10" s="50"/>
      <c r="EA10" s="50"/>
      <c r="EB10" s="50"/>
      <c r="EC10" s="50"/>
      <c r="ED10" s="50"/>
      <c r="EE10" s="50"/>
      <c r="EF10" s="50"/>
      <c r="EG10" s="50"/>
      <c r="EH10" s="50"/>
      <c r="EI10" s="50"/>
      <c r="EJ10" s="50"/>
      <c r="EK10" s="50"/>
      <c r="EL10" s="50"/>
      <c r="EM10" s="50"/>
      <c r="EN10" s="50"/>
      <c r="EO10" s="50"/>
      <c r="EP10" s="50"/>
      <c r="EQ10" s="50"/>
      <c r="ER10" s="50"/>
      <c r="ES10" s="50"/>
      <c r="ET10" s="50"/>
      <c r="EU10" s="50"/>
      <c r="EV10" s="50"/>
      <c r="EW10" s="50"/>
      <c r="EX10" s="50"/>
      <c r="EY10" s="50"/>
      <c r="EZ10" s="50"/>
      <c r="FA10" s="50"/>
      <c r="FB10" s="50"/>
      <c r="FC10" s="50"/>
      <c r="FD10" s="50"/>
      <c r="FE10" s="50"/>
      <c r="FF10" s="50"/>
      <c r="FG10" s="50"/>
      <c r="FH10" s="50"/>
      <c r="FI10" s="50"/>
      <c r="FJ10" s="50"/>
      <c r="FK10" s="50"/>
      <c r="FL10" s="50"/>
      <c r="FM10" s="50"/>
      <c r="FN10" s="50"/>
      <c r="FO10" s="50"/>
      <c r="FP10" s="50"/>
      <c r="FQ10" s="50"/>
      <c r="FR10" s="50"/>
      <c r="FS10" s="50"/>
      <c r="FT10" s="50"/>
      <c r="FU10" s="50"/>
      <c r="FV10" s="50"/>
      <c r="FW10" s="50"/>
      <c r="FX10" s="50"/>
      <c r="FY10" s="50"/>
      <c r="FZ10" s="50"/>
      <c r="GA10" s="50"/>
      <c r="GB10" s="50"/>
      <c r="GC10" s="50"/>
      <c r="GD10" s="50"/>
      <c r="GE10" s="50"/>
      <c r="GF10" s="50"/>
      <c r="GG10" s="50"/>
      <c r="GH10" s="50"/>
      <c r="GI10" s="50"/>
      <c r="GJ10" s="50"/>
      <c r="GK10" s="50"/>
      <c r="GL10" s="50"/>
      <c r="GM10" s="50"/>
      <c r="GN10" s="50"/>
      <c r="GO10" s="50"/>
      <c r="GP10" s="50"/>
      <c r="GQ10" s="50"/>
      <c r="GR10" s="50"/>
      <c r="GS10" s="50"/>
      <c r="GT10" s="50"/>
      <c r="GU10" s="50"/>
      <c r="GV10" s="50"/>
      <c r="GW10" s="50"/>
      <c r="GX10" s="50"/>
      <c r="GY10" s="50"/>
      <c r="GZ10" s="50"/>
      <c r="HA10" s="50"/>
      <c r="HB10" s="50"/>
      <c r="HC10" s="50"/>
      <c r="HD10" s="50"/>
      <c r="HE10" s="50"/>
      <c r="HF10" s="50"/>
      <c r="HG10" s="50"/>
      <c r="HH10" s="50"/>
      <c r="HI10" s="50"/>
      <c r="HJ10" s="50"/>
      <c r="HK10" s="50"/>
      <c r="HL10" s="50"/>
      <c r="HM10" s="50"/>
      <c r="HN10" s="50"/>
      <c r="HO10" s="50"/>
      <c r="HP10" s="50"/>
      <c r="HQ10" s="50"/>
      <c r="HR10" s="50"/>
      <c r="HS10" s="50"/>
      <c r="HT10" s="50"/>
      <c r="HU10" s="50"/>
      <c r="HV10" s="50"/>
      <c r="HW10" s="50"/>
      <c r="HX10" s="50"/>
      <c r="HY10" s="50"/>
      <c r="HZ10" s="50"/>
      <c r="IA10" s="50"/>
      <c r="IB10" s="50"/>
      <c r="IC10" s="50"/>
      <c r="ID10" s="50"/>
      <c r="IE10" s="50"/>
      <c r="IF10" s="50"/>
      <c r="IG10" s="50"/>
      <c r="IH10" s="50"/>
      <c r="II10" s="50"/>
      <c r="IJ10" s="50"/>
      <c r="IK10" s="50"/>
      <c r="IL10" s="50"/>
      <c r="IM10" s="50"/>
      <c r="IN10" s="50"/>
      <c r="IO10" s="50"/>
      <c r="IP10" s="50"/>
      <c r="IQ10" s="50"/>
      <c r="IR10" s="50"/>
      <c r="IS10" s="50"/>
      <c r="IT10" s="50"/>
      <c r="IU10" s="50"/>
      <c r="IV10" s="50"/>
    </row>
    <row r="11" spans="1:256" s="2" customFormat="1" ht="41.25" customHeight="1">
      <c r="A11" s="136" t="s">
        <v>1305</v>
      </c>
      <c r="B11" s="139" t="s">
        <v>583</v>
      </c>
      <c r="C11" s="47">
        <f t="shared" ref="C11:C70" si="1">SUM(D11:M11)+SUM(P11:R11)</f>
        <v>25635</v>
      </c>
      <c r="D11" s="287"/>
      <c r="E11" s="287"/>
      <c r="F11" s="287"/>
      <c r="G11" s="287"/>
      <c r="H11" s="287"/>
      <c r="I11" s="287"/>
      <c r="J11" s="288"/>
      <c r="K11" s="288"/>
      <c r="L11" s="288"/>
      <c r="M11" s="47">
        <f t="shared" ref="M11:M20" si="2">+N11+O11</f>
        <v>25635</v>
      </c>
      <c r="N11" s="287"/>
      <c r="O11" s="288">
        <f>+'PL 04'!W502</f>
        <v>25635</v>
      </c>
      <c r="P11" s="288"/>
      <c r="Q11" s="288"/>
      <c r="R11" s="288"/>
      <c r="S11" s="116">
        <f t="shared" ref="S11:S70" si="3">+M11-N11-O11</f>
        <v>0</v>
      </c>
      <c r="T11" s="115"/>
      <c r="U11" s="116">
        <f t="shared" ref="U11:U70" si="4">+M11-N11-O11</f>
        <v>0</v>
      </c>
      <c r="V11" s="115"/>
      <c r="W11" s="115"/>
      <c r="X11" s="115"/>
      <c r="Y11" s="115"/>
      <c r="Z11" s="115"/>
      <c r="AA11" s="115"/>
      <c r="AB11" s="115"/>
    </row>
    <row r="12" spans="1:256" s="122" customFormat="1" ht="21" customHeight="1">
      <c r="A12" s="136" t="s">
        <v>1374</v>
      </c>
      <c r="B12" s="289" t="s">
        <v>503</v>
      </c>
      <c r="C12" s="47">
        <f t="shared" si="1"/>
        <v>435.1</v>
      </c>
      <c r="D12" s="287"/>
      <c r="E12" s="287"/>
      <c r="F12" s="287"/>
      <c r="G12" s="287"/>
      <c r="H12" s="287"/>
      <c r="I12" s="287"/>
      <c r="J12" s="287"/>
      <c r="K12" s="287"/>
      <c r="L12" s="287"/>
      <c r="M12" s="47">
        <f t="shared" si="2"/>
        <v>435.1</v>
      </c>
      <c r="N12" s="287"/>
      <c r="O12" s="287">
        <f>+'PL 04'!W383</f>
        <v>435.1</v>
      </c>
      <c r="P12" s="287"/>
      <c r="Q12" s="287"/>
      <c r="R12" s="287"/>
      <c r="S12" s="116">
        <f t="shared" si="3"/>
        <v>0</v>
      </c>
      <c r="T12" s="276"/>
      <c r="U12" s="116">
        <f t="shared" si="4"/>
        <v>0</v>
      </c>
      <c r="V12" s="276"/>
      <c r="W12" s="276"/>
      <c r="X12" s="276"/>
      <c r="Y12" s="276"/>
      <c r="Z12" s="276"/>
      <c r="AA12" s="276"/>
      <c r="AB12" s="276"/>
    </row>
    <row r="13" spans="1:256" s="122" customFormat="1" ht="21" customHeight="1">
      <c r="A13" s="136" t="s">
        <v>1623</v>
      </c>
      <c r="B13" s="289" t="s">
        <v>525</v>
      </c>
      <c r="C13" s="47">
        <f t="shared" si="1"/>
        <v>363</v>
      </c>
      <c r="D13" s="287"/>
      <c r="E13" s="287"/>
      <c r="F13" s="287"/>
      <c r="G13" s="287"/>
      <c r="H13" s="287"/>
      <c r="I13" s="287"/>
      <c r="J13" s="287"/>
      <c r="K13" s="287"/>
      <c r="L13" s="287"/>
      <c r="M13" s="47">
        <f t="shared" si="2"/>
        <v>363</v>
      </c>
      <c r="N13" s="287"/>
      <c r="O13" s="287">
        <f>+'PL 04'!W409</f>
        <v>363</v>
      </c>
      <c r="P13" s="287"/>
      <c r="Q13" s="287"/>
      <c r="R13" s="287"/>
      <c r="S13" s="116">
        <f t="shared" si="3"/>
        <v>0</v>
      </c>
      <c r="T13" s="276"/>
      <c r="U13" s="116">
        <f t="shared" si="4"/>
        <v>0</v>
      </c>
      <c r="V13" s="276"/>
      <c r="W13" s="276"/>
      <c r="X13" s="276"/>
      <c r="Y13" s="276"/>
      <c r="Z13" s="276"/>
      <c r="AA13" s="276"/>
      <c r="AB13" s="276"/>
    </row>
    <row r="14" spans="1:256" s="122" customFormat="1" ht="21" customHeight="1">
      <c r="A14" s="136" t="s">
        <v>1624</v>
      </c>
      <c r="B14" s="289" t="s">
        <v>533</v>
      </c>
      <c r="C14" s="47">
        <f t="shared" si="1"/>
        <v>282</v>
      </c>
      <c r="D14" s="287"/>
      <c r="E14" s="287"/>
      <c r="F14" s="287"/>
      <c r="G14" s="287"/>
      <c r="H14" s="287"/>
      <c r="I14" s="287"/>
      <c r="J14" s="287"/>
      <c r="K14" s="287"/>
      <c r="L14" s="287"/>
      <c r="M14" s="47">
        <f t="shared" si="2"/>
        <v>282</v>
      </c>
      <c r="N14" s="287"/>
      <c r="O14" s="287">
        <f>+'PL 04'!W430</f>
        <v>282</v>
      </c>
      <c r="P14" s="287"/>
      <c r="Q14" s="287"/>
      <c r="R14" s="287"/>
      <c r="S14" s="116">
        <f t="shared" si="3"/>
        <v>0</v>
      </c>
      <c r="T14" s="276"/>
      <c r="U14" s="116">
        <f t="shared" si="4"/>
        <v>0</v>
      </c>
      <c r="V14" s="276"/>
      <c r="W14" s="276"/>
      <c r="X14" s="276"/>
      <c r="Y14" s="276"/>
      <c r="Z14" s="276"/>
      <c r="AA14" s="276"/>
      <c r="AB14" s="276"/>
    </row>
    <row r="15" spans="1:256" s="122" customFormat="1" ht="21" customHeight="1">
      <c r="A15" s="136" t="s">
        <v>1625</v>
      </c>
      <c r="B15" s="289" t="s">
        <v>543</v>
      </c>
      <c r="C15" s="47">
        <f t="shared" si="1"/>
        <v>1285</v>
      </c>
      <c r="D15" s="287"/>
      <c r="E15" s="287"/>
      <c r="F15" s="287"/>
      <c r="G15" s="287"/>
      <c r="H15" s="287"/>
      <c r="I15" s="287"/>
      <c r="J15" s="287"/>
      <c r="K15" s="287"/>
      <c r="L15" s="287"/>
      <c r="M15" s="47">
        <f t="shared" si="2"/>
        <v>1285</v>
      </c>
      <c r="N15" s="287"/>
      <c r="O15" s="287">
        <f>+'PL 04'!W446</f>
        <v>1285</v>
      </c>
      <c r="P15" s="287"/>
      <c r="Q15" s="287"/>
      <c r="R15" s="287"/>
      <c r="S15" s="116">
        <f t="shared" si="3"/>
        <v>0</v>
      </c>
      <c r="T15" s="276"/>
      <c r="U15" s="116">
        <f t="shared" si="4"/>
        <v>0</v>
      </c>
      <c r="V15" s="276"/>
      <c r="W15" s="276"/>
      <c r="X15" s="276"/>
      <c r="Y15" s="276"/>
      <c r="Z15" s="276"/>
      <c r="AA15" s="276"/>
      <c r="AB15" s="276"/>
    </row>
    <row r="16" spans="1:256" s="122" customFormat="1" ht="21" customHeight="1">
      <c r="A16" s="136" t="s">
        <v>1626</v>
      </c>
      <c r="B16" s="289" t="s">
        <v>546</v>
      </c>
      <c r="C16" s="47">
        <f t="shared" si="1"/>
        <v>692</v>
      </c>
      <c r="D16" s="287"/>
      <c r="E16" s="287"/>
      <c r="F16" s="287"/>
      <c r="G16" s="287"/>
      <c r="H16" s="287"/>
      <c r="I16" s="287"/>
      <c r="J16" s="287"/>
      <c r="K16" s="287"/>
      <c r="L16" s="287"/>
      <c r="M16" s="47">
        <f t="shared" si="2"/>
        <v>692</v>
      </c>
      <c r="N16" s="287"/>
      <c r="O16" s="287">
        <f>+'PL 04'!W457</f>
        <v>692</v>
      </c>
      <c r="P16" s="287"/>
      <c r="Q16" s="287"/>
      <c r="R16" s="287"/>
      <c r="S16" s="116">
        <f t="shared" si="3"/>
        <v>0</v>
      </c>
      <c r="T16" s="276"/>
      <c r="U16" s="116">
        <f t="shared" si="4"/>
        <v>0</v>
      </c>
      <c r="V16" s="276"/>
      <c r="W16" s="276"/>
      <c r="X16" s="276"/>
      <c r="Y16" s="276"/>
      <c r="Z16" s="276"/>
      <c r="AA16" s="276"/>
      <c r="AB16" s="276"/>
    </row>
    <row r="17" spans="1:256" s="122" customFormat="1" ht="21" customHeight="1">
      <c r="A17" s="136" t="s">
        <v>1627</v>
      </c>
      <c r="B17" s="289" t="s">
        <v>550</v>
      </c>
      <c r="C17" s="47">
        <f t="shared" si="1"/>
        <v>190</v>
      </c>
      <c r="D17" s="287"/>
      <c r="E17" s="287"/>
      <c r="F17" s="287"/>
      <c r="G17" s="287"/>
      <c r="H17" s="287"/>
      <c r="I17" s="287"/>
      <c r="J17" s="287"/>
      <c r="K17" s="287"/>
      <c r="L17" s="287"/>
      <c r="M17" s="47">
        <f t="shared" si="2"/>
        <v>190</v>
      </c>
      <c r="N17" s="287"/>
      <c r="O17" s="287">
        <f>+'PL 04'!W466</f>
        <v>190</v>
      </c>
      <c r="P17" s="287"/>
      <c r="Q17" s="287"/>
      <c r="R17" s="287"/>
      <c r="S17" s="116">
        <f t="shared" si="3"/>
        <v>0</v>
      </c>
      <c r="T17" s="276"/>
      <c r="U17" s="116">
        <f t="shared" si="4"/>
        <v>0</v>
      </c>
      <c r="V17" s="276"/>
      <c r="W17" s="276"/>
      <c r="X17" s="276"/>
      <c r="Y17" s="276"/>
      <c r="Z17" s="276"/>
      <c r="AA17" s="276"/>
      <c r="AB17" s="276"/>
    </row>
    <row r="18" spans="1:256" s="122" customFormat="1" ht="21" customHeight="1">
      <c r="A18" s="136" t="s">
        <v>1628</v>
      </c>
      <c r="B18" s="289" t="s">
        <v>562</v>
      </c>
      <c r="C18" s="47">
        <f t="shared" si="1"/>
        <v>42</v>
      </c>
      <c r="D18" s="287"/>
      <c r="E18" s="287"/>
      <c r="F18" s="287"/>
      <c r="G18" s="287"/>
      <c r="H18" s="287"/>
      <c r="I18" s="287"/>
      <c r="J18" s="287"/>
      <c r="K18" s="287"/>
      <c r="L18" s="287"/>
      <c r="M18" s="47">
        <f t="shared" si="2"/>
        <v>42</v>
      </c>
      <c r="N18" s="287"/>
      <c r="O18" s="287">
        <f>+'PL 04'!W482</f>
        <v>42</v>
      </c>
      <c r="P18" s="287"/>
      <c r="Q18" s="287"/>
      <c r="R18" s="287"/>
      <c r="S18" s="116">
        <f t="shared" si="3"/>
        <v>0</v>
      </c>
      <c r="T18" s="276"/>
      <c r="U18" s="116">
        <f t="shared" si="4"/>
        <v>0</v>
      </c>
      <c r="V18" s="276"/>
      <c r="W18" s="276"/>
      <c r="X18" s="276"/>
      <c r="Y18" s="276"/>
      <c r="Z18" s="276"/>
      <c r="AA18" s="276"/>
      <c r="AB18" s="276"/>
    </row>
    <row r="19" spans="1:256" s="122" customFormat="1" ht="25.5" customHeight="1">
      <c r="A19" s="136" t="s">
        <v>1629</v>
      </c>
      <c r="B19" s="138" t="s">
        <v>573</v>
      </c>
      <c r="C19" s="47">
        <f t="shared" si="1"/>
        <v>556</v>
      </c>
      <c r="D19" s="253"/>
      <c r="E19" s="287"/>
      <c r="F19" s="287"/>
      <c r="G19" s="287"/>
      <c r="H19" s="287"/>
      <c r="I19" s="287"/>
      <c r="J19" s="287"/>
      <c r="K19" s="287"/>
      <c r="L19" s="287"/>
      <c r="M19" s="47">
        <f t="shared" si="2"/>
        <v>556</v>
      </c>
      <c r="N19" s="287"/>
      <c r="O19" s="287">
        <f>+'PL 04'!W489</f>
        <v>556</v>
      </c>
      <c r="P19" s="287"/>
      <c r="Q19" s="287"/>
      <c r="R19" s="287"/>
      <c r="S19" s="116">
        <f t="shared" si="3"/>
        <v>0</v>
      </c>
      <c r="T19" s="276"/>
      <c r="U19" s="116">
        <f t="shared" si="4"/>
        <v>0</v>
      </c>
      <c r="V19" s="276"/>
      <c r="W19" s="276"/>
      <c r="X19" s="276"/>
      <c r="Y19" s="276"/>
      <c r="Z19" s="276"/>
      <c r="AA19" s="276"/>
      <c r="AB19" s="276"/>
    </row>
    <row r="20" spans="1:256" s="122" customFormat="1" ht="21" customHeight="1">
      <c r="A20" s="136" t="s">
        <v>1630</v>
      </c>
      <c r="B20" s="138" t="s">
        <v>1248</v>
      </c>
      <c r="C20" s="47">
        <f t="shared" si="1"/>
        <v>61</v>
      </c>
      <c r="D20" s="287"/>
      <c r="E20" s="287"/>
      <c r="F20" s="287"/>
      <c r="G20" s="287"/>
      <c r="H20" s="287"/>
      <c r="I20" s="287"/>
      <c r="J20" s="287"/>
      <c r="K20" s="287"/>
      <c r="L20" s="287"/>
      <c r="M20" s="47">
        <f t="shared" si="2"/>
        <v>61</v>
      </c>
      <c r="N20" s="287"/>
      <c r="O20" s="287">
        <f>+'PL 04'!W495</f>
        <v>61</v>
      </c>
      <c r="P20" s="287"/>
      <c r="Q20" s="287"/>
      <c r="R20" s="287"/>
      <c r="S20" s="116">
        <f t="shared" si="3"/>
        <v>0</v>
      </c>
      <c r="T20" s="276"/>
      <c r="U20" s="116">
        <f t="shared" si="4"/>
        <v>0</v>
      </c>
      <c r="V20" s="276"/>
      <c r="W20" s="276"/>
      <c r="X20" s="276"/>
      <c r="Y20" s="276"/>
      <c r="Z20" s="276"/>
      <c r="AA20" s="276"/>
      <c r="AB20" s="276"/>
    </row>
    <row r="21" spans="1:256" s="122" customFormat="1" ht="21" customHeight="1">
      <c r="A21" s="34">
        <v>2</v>
      </c>
      <c r="B21" s="138" t="s">
        <v>615</v>
      </c>
      <c r="C21" s="47">
        <f t="shared" si="1"/>
        <v>42021</v>
      </c>
      <c r="D21" s="287"/>
      <c r="E21" s="287"/>
      <c r="F21" s="287"/>
      <c r="G21" s="287"/>
      <c r="H21" s="287"/>
      <c r="I21" s="287"/>
      <c r="J21" s="287"/>
      <c r="K21" s="287"/>
      <c r="L21" s="287"/>
      <c r="M21" s="47">
        <f>+N21+O21</f>
        <v>42021</v>
      </c>
      <c r="N21" s="287">
        <f>+'PL 04'!W729</f>
        <v>42021</v>
      </c>
      <c r="O21" s="287"/>
      <c r="P21" s="287"/>
      <c r="Q21" s="287"/>
      <c r="R21" s="287"/>
      <c r="S21" s="116">
        <f t="shared" si="3"/>
        <v>0</v>
      </c>
      <c r="T21" s="276"/>
      <c r="U21" s="116">
        <f t="shared" si="4"/>
        <v>0</v>
      </c>
      <c r="V21" s="276"/>
      <c r="W21" s="276"/>
      <c r="X21" s="276"/>
      <c r="Y21" s="276"/>
      <c r="Z21" s="276"/>
      <c r="AA21" s="276"/>
      <c r="AB21" s="276"/>
    </row>
    <row r="22" spans="1:256" s="122" customFormat="1" ht="21" customHeight="1">
      <c r="A22" s="34">
        <v>3</v>
      </c>
      <c r="B22" s="138" t="s">
        <v>1375</v>
      </c>
      <c r="C22" s="47">
        <f t="shared" si="1"/>
        <v>10036.240488425261</v>
      </c>
      <c r="D22" s="287"/>
      <c r="E22" s="287"/>
      <c r="F22" s="287"/>
      <c r="G22" s="287"/>
      <c r="H22" s="287">
        <f>+'PL 04'!W202</f>
        <v>10036.240488425261</v>
      </c>
      <c r="I22" s="287"/>
      <c r="J22" s="287"/>
      <c r="K22" s="287"/>
      <c r="L22" s="287"/>
      <c r="M22" s="47">
        <f t="shared" ref="M22:M32" si="5">+N22+O22</f>
        <v>0</v>
      </c>
      <c r="N22" s="287"/>
      <c r="O22" s="287"/>
      <c r="P22" s="287"/>
      <c r="Q22" s="287"/>
      <c r="R22" s="287"/>
      <c r="S22" s="116">
        <f t="shared" si="3"/>
        <v>0</v>
      </c>
      <c r="T22" s="276"/>
      <c r="U22" s="116">
        <f t="shared" si="4"/>
        <v>0</v>
      </c>
      <c r="V22" s="276"/>
      <c r="W22" s="276"/>
      <c r="X22" s="276"/>
      <c r="Y22" s="276"/>
      <c r="Z22" s="276"/>
      <c r="AA22" s="276"/>
      <c r="AB22" s="276"/>
    </row>
    <row r="23" spans="1:256" s="2" customFormat="1" ht="21" customHeight="1">
      <c r="A23" s="136">
        <v>4</v>
      </c>
      <c r="B23" s="139" t="s">
        <v>623</v>
      </c>
      <c r="C23" s="47">
        <f t="shared" si="1"/>
        <v>44660</v>
      </c>
      <c r="D23" s="287"/>
      <c r="E23" s="287"/>
      <c r="F23" s="287"/>
      <c r="G23" s="287"/>
      <c r="H23" s="287"/>
      <c r="I23" s="287">
        <f>+'PL 04'!W228</f>
        <v>44660</v>
      </c>
      <c r="J23" s="288"/>
      <c r="K23" s="288"/>
      <c r="L23" s="288"/>
      <c r="M23" s="47">
        <f t="shared" si="5"/>
        <v>0</v>
      </c>
      <c r="N23" s="287"/>
      <c r="O23" s="288"/>
      <c r="P23" s="288"/>
      <c r="Q23" s="288"/>
      <c r="R23" s="288"/>
      <c r="S23" s="116">
        <f t="shared" si="3"/>
        <v>0</v>
      </c>
      <c r="T23" s="115"/>
      <c r="U23" s="116">
        <f t="shared" si="4"/>
        <v>0</v>
      </c>
      <c r="V23" s="115"/>
      <c r="W23" s="115"/>
      <c r="X23" s="115"/>
      <c r="Y23" s="115"/>
      <c r="Z23" s="115"/>
      <c r="AA23" s="115"/>
      <c r="AB23" s="115"/>
    </row>
    <row r="24" spans="1:256" s="2" customFormat="1" ht="21" customHeight="1">
      <c r="A24" s="136">
        <v>5</v>
      </c>
      <c r="B24" s="290" t="s">
        <v>681</v>
      </c>
      <c r="C24" s="47">
        <f t="shared" si="1"/>
        <v>156189.6</v>
      </c>
      <c r="D24" s="287"/>
      <c r="E24" s="287">
        <f>+'PL 04'!W153</f>
        <v>156189.6</v>
      </c>
      <c r="F24" s="287"/>
      <c r="G24" s="287"/>
      <c r="H24" s="287"/>
      <c r="I24" s="287"/>
      <c r="J24" s="288"/>
      <c r="K24" s="288"/>
      <c r="L24" s="288"/>
      <c r="M24" s="47">
        <f t="shared" si="5"/>
        <v>0</v>
      </c>
      <c r="N24" s="287"/>
      <c r="O24" s="288"/>
      <c r="P24" s="288"/>
      <c r="Q24" s="288"/>
      <c r="R24" s="288"/>
      <c r="S24" s="116">
        <f t="shared" si="3"/>
        <v>0</v>
      </c>
      <c r="T24" s="115"/>
      <c r="U24" s="116">
        <f t="shared" si="4"/>
        <v>0</v>
      </c>
      <c r="V24" s="115"/>
      <c r="W24" s="115"/>
      <c r="X24" s="115"/>
      <c r="Y24" s="115"/>
      <c r="Z24" s="115"/>
      <c r="AA24" s="115"/>
      <c r="AB24" s="115"/>
    </row>
    <row r="25" spans="1:256" s="2" customFormat="1" ht="21" customHeight="1">
      <c r="A25" s="136">
        <v>6</v>
      </c>
      <c r="B25" s="290" t="s">
        <v>1299</v>
      </c>
      <c r="C25" s="47">
        <f t="shared" si="1"/>
        <v>259</v>
      </c>
      <c r="D25" s="287"/>
      <c r="E25" s="287"/>
      <c r="F25" s="287"/>
      <c r="G25" s="287"/>
      <c r="H25" s="287"/>
      <c r="I25" s="287"/>
      <c r="J25" s="288"/>
      <c r="K25" s="288"/>
      <c r="L25" s="288"/>
      <c r="M25" s="47">
        <f t="shared" si="5"/>
        <v>0</v>
      </c>
      <c r="N25" s="287"/>
      <c r="O25" s="288"/>
      <c r="P25" s="288"/>
      <c r="Q25" s="288">
        <f>+'PL 04'!W988</f>
        <v>259</v>
      </c>
      <c r="R25" s="288"/>
      <c r="S25" s="116">
        <f t="shared" si="3"/>
        <v>0</v>
      </c>
      <c r="T25" s="115"/>
      <c r="U25" s="116">
        <f t="shared" si="4"/>
        <v>0</v>
      </c>
      <c r="V25" s="115"/>
      <c r="W25" s="115"/>
      <c r="X25" s="115"/>
      <c r="Y25" s="115"/>
      <c r="Z25" s="115"/>
      <c r="AA25" s="115"/>
      <c r="AB25" s="115"/>
    </row>
    <row r="26" spans="1:256" s="2" customFormat="1" ht="21" customHeight="1">
      <c r="A26" s="136">
        <v>7</v>
      </c>
      <c r="B26" s="290" t="s">
        <v>1613</v>
      </c>
      <c r="C26" s="47">
        <f t="shared" si="1"/>
        <v>33550</v>
      </c>
      <c r="D26" s="287">
        <f>+'PL 04'!W146</f>
        <v>33550</v>
      </c>
      <c r="E26" s="287"/>
      <c r="F26" s="287"/>
      <c r="G26" s="287"/>
      <c r="H26" s="287"/>
      <c r="I26" s="287"/>
      <c r="J26" s="288"/>
      <c r="K26" s="288"/>
      <c r="L26" s="288"/>
      <c r="M26" s="47">
        <f t="shared" si="5"/>
        <v>0</v>
      </c>
      <c r="N26" s="287"/>
      <c r="O26" s="288"/>
      <c r="P26" s="288"/>
      <c r="Q26" s="288"/>
      <c r="R26" s="288"/>
      <c r="S26" s="116">
        <f t="shared" si="3"/>
        <v>0</v>
      </c>
      <c r="T26" s="115"/>
      <c r="U26" s="116">
        <f t="shared" si="4"/>
        <v>0</v>
      </c>
      <c r="V26" s="115"/>
      <c r="W26" s="115"/>
      <c r="X26" s="115"/>
      <c r="Y26" s="115"/>
      <c r="Z26" s="115"/>
      <c r="AA26" s="115"/>
      <c r="AB26" s="115"/>
    </row>
    <row r="27" spans="1:256" s="2" customFormat="1" ht="21" customHeight="1">
      <c r="A27" s="136">
        <v>8</v>
      </c>
      <c r="B27" s="290" t="s">
        <v>1714</v>
      </c>
      <c r="C27" s="47">
        <f t="shared" si="1"/>
        <v>35000</v>
      </c>
      <c r="D27" s="287"/>
      <c r="E27" s="287"/>
      <c r="F27" s="287"/>
      <c r="G27" s="287"/>
      <c r="H27" s="287"/>
      <c r="I27" s="287"/>
      <c r="J27" s="288"/>
      <c r="K27" s="288"/>
      <c r="L27" s="288"/>
      <c r="M27" s="47">
        <f>+'PL 04'!W939</f>
        <v>35000</v>
      </c>
      <c r="N27" s="287"/>
      <c r="O27" s="288"/>
      <c r="P27" s="288"/>
      <c r="Q27" s="288"/>
      <c r="R27" s="288"/>
      <c r="S27" s="116">
        <f t="shared" si="3"/>
        <v>35000</v>
      </c>
      <c r="T27" s="115"/>
      <c r="U27" s="116">
        <f t="shared" si="4"/>
        <v>35000</v>
      </c>
      <c r="V27" s="115"/>
      <c r="W27" s="115"/>
      <c r="X27" s="115"/>
      <c r="Y27" s="115"/>
      <c r="Z27" s="115"/>
      <c r="AA27" s="115"/>
      <c r="AB27" s="115"/>
    </row>
    <row r="28" spans="1:256" s="2" customFormat="1" ht="21" customHeight="1">
      <c r="A28" s="136">
        <v>9</v>
      </c>
      <c r="B28" s="9" t="s">
        <v>1641</v>
      </c>
      <c r="C28" s="47">
        <f t="shared" si="1"/>
        <v>20011</v>
      </c>
      <c r="D28" s="287"/>
      <c r="E28" s="287"/>
      <c r="F28" s="287"/>
      <c r="G28" s="287"/>
      <c r="H28" s="287"/>
      <c r="I28" s="287"/>
      <c r="J28" s="288">
        <f>+'PL 04'!W997</f>
        <v>20011</v>
      </c>
      <c r="K28" s="288"/>
      <c r="L28" s="288"/>
      <c r="M28" s="47">
        <f t="shared" si="5"/>
        <v>0</v>
      </c>
      <c r="N28" s="287"/>
      <c r="O28" s="288"/>
      <c r="P28" s="288"/>
      <c r="Q28" s="288"/>
      <c r="R28" s="288"/>
      <c r="S28" s="116">
        <f t="shared" si="3"/>
        <v>0</v>
      </c>
      <c r="T28" s="115"/>
      <c r="U28" s="116">
        <f t="shared" si="4"/>
        <v>0</v>
      </c>
      <c r="V28" s="115"/>
      <c r="W28" s="115"/>
      <c r="X28" s="115"/>
      <c r="Y28" s="115"/>
      <c r="Z28" s="115"/>
      <c r="AA28" s="115"/>
      <c r="AB28" s="115"/>
    </row>
    <row r="29" spans="1:256" s="2" customFormat="1" ht="21" customHeight="1">
      <c r="A29" s="136">
        <v>10</v>
      </c>
      <c r="B29" s="290" t="s">
        <v>666</v>
      </c>
      <c r="C29" s="47">
        <f t="shared" si="1"/>
        <v>22001</v>
      </c>
      <c r="D29" s="287"/>
      <c r="E29" s="287"/>
      <c r="F29" s="287">
        <f>+'PL 04'!W160</f>
        <v>22001</v>
      </c>
      <c r="G29" s="287"/>
      <c r="H29" s="287"/>
      <c r="I29" s="287"/>
      <c r="J29" s="288"/>
      <c r="K29" s="288"/>
      <c r="L29" s="288"/>
      <c r="M29" s="47">
        <f t="shared" si="5"/>
        <v>0</v>
      </c>
      <c r="N29" s="287"/>
      <c r="O29" s="288"/>
      <c r="P29" s="288"/>
      <c r="Q29" s="288"/>
      <c r="R29" s="288"/>
      <c r="S29" s="116">
        <f t="shared" si="3"/>
        <v>0</v>
      </c>
      <c r="T29" s="115"/>
      <c r="U29" s="116">
        <f t="shared" si="4"/>
        <v>0</v>
      </c>
      <c r="V29" s="115"/>
      <c r="W29" s="115"/>
      <c r="X29" s="115"/>
      <c r="Y29" s="115"/>
      <c r="Z29" s="115"/>
      <c r="AA29" s="115"/>
      <c r="AB29" s="115"/>
    </row>
    <row r="30" spans="1:256" s="2" customFormat="1" ht="21" customHeight="1">
      <c r="A30" s="136">
        <v>11</v>
      </c>
      <c r="B30" s="137" t="s">
        <v>1384</v>
      </c>
      <c r="C30" s="47">
        <f t="shared" si="1"/>
        <v>0</v>
      </c>
      <c r="D30" s="252"/>
      <c r="E30" s="252"/>
      <c r="F30" s="252"/>
      <c r="G30" s="252"/>
      <c r="H30" s="252"/>
      <c r="I30" s="252"/>
      <c r="J30" s="47"/>
      <c r="K30" s="47"/>
      <c r="L30" s="47"/>
      <c r="M30" s="47">
        <f t="shared" si="5"/>
        <v>0</v>
      </c>
      <c r="N30" s="252"/>
      <c r="O30" s="47"/>
      <c r="P30" s="47"/>
      <c r="Q30" s="47"/>
      <c r="R30" s="47"/>
      <c r="S30" s="116">
        <f t="shared" si="3"/>
        <v>0</v>
      </c>
      <c r="T30" s="275"/>
      <c r="U30" s="116">
        <f t="shared" si="4"/>
        <v>0</v>
      </c>
      <c r="V30" s="275"/>
      <c r="W30" s="275"/>
      <c r="X30" s="275"/>
      <c r="Y30" s="275"/>
      <c r="Z30" s="275"/>
      <c r="AA30" s="275"/>
      <c r="AB30" s="275"/>
      <c r="AC30" s="50"/>
      <c r="AD30" s="50"/>
      <c r="AE30" s="50"/>
      <c r="AF30" s="50"/>
      <c r="AG30" s="50"/>
      <c r="AH30" s="50"/>
      <c r="AI30" s="50"/>
      <c r="AJ30" s="50"/>
      <c r="AK30" s="50"/>
      <c r="AL30" s="50"/>
      <c r="AM30" s="50"/>
      <c r="AN30" s="50"/>
      <c r="AO30" s="50"/>
      <c r="AP30" s="50"/>
      <c r="AQ30" s="50"/>
      <c r="AR30" s="50"/>
      <c r="AS30" s="50"/>
      <c r="AT30" s="50"/>
      <c r="AU30" s="50"/>
      <c r="AV30" s="50"/>
      <c r="AW30" s="50"/>
      <c r="AX30" s="50"/>
      <c r="AY30" s="50"/>
      <c r="AZ30" s="50"/>
      <c r="BA30" s="50"/>
      <c r="BB30" s="50"/>
      <c r="BC30" s="50"/>
      <c r="BD30" s="50"/>
      <c r="BE30" s="50"/>
      <c r="BF30" s="50"/>
      <c r="BG30" s="50"/>
      <c r="BH30" s="50"/>
      <c r="BI30" s="50"/>
      <c r="BJ30" s="50"/>
      <c r="BK30" s="50"/>
      <c r="BL30" s="50"/>
      <c r="BM30" s="50"/>
      <c r="BN30" s="50"/>
      <c r="BO30" s="50"/>
      <c r="BP30" s="50"/>
      <c r="BQ30" s="50"/>
      <c r="BR30" s="50"/>
      <c r="BS30" s="50"/>
      <c r="BT30" s="50"/>
      <c r="BU30" s="50"/>
      <c r="BV30" s="50"/>
      <c r="BW30" s="50"/>
      <c r="BX30" s="50"/>
      <c r="BY30" s="50"/>
      <c r="BZ30" s="50"/>
      <c r="CA30" s="50"/>
      <c r="CB30" s="50"/>
      <c r="CC30" s="50"/>
      <c r="CD30" s="50"/>
      <c r="CE30" s="50"/>
      <c r="CF30" s="50"/>
      <c r="CG30" s="50"/>
      <c r="CH30" s="50"/>
      <c r="CI30" s="50"/>
      <c r="CJ30" s="50"/>
      <c r="CK30" s="50"/>
      <c r="CL30" s="50"/>
      <c r="CM30" s="50"/>
      <c r="CN30" s="50"/>
      <c r="CO30" s="50"/>
      <c r="CP30" s="50"/>
      <c r="CQ30" s="50"/>
      <c r="CR30" s="50"/>
      <c r="CS30" s="50"/>
      <c r="CT30" s="50"/>
      <c r="CU30" s="50"/>
      <c r="CV30" s="50"/>
      <c r="CW30" s="50"/>
      <c r="CX30" s="50"/>
      <c r="CY30" s="50"/>
      <c r="CZ30" s="50"/>
      <c r="DA30" s="50"/>
      <c r="DB30" s="50"/>
      <c r="DC30" s="50"/>
      <c r="DD30" s="50"/>
      <c r="DE30" s="50"/>
      <c r="DF30" s="50"/>
      <c r="DG30" s="50"/>
      <c r="DH30" s="50"/>
      <c r="DI30" s="50"/>
      <c r="DJ30" s="50"/>
      <c r="DK30" s="50"/>
      <c r="DL30" s="50"/>
      <c r="DM30" s="50"/>
      <c r="DN30" s="50"/>
      <c r="DO30" s="50"/>
      <c r="DP30" s="50"/>
      <c r="DQ30" s="50"/>
      <c r="DR30" s="50"/>
      <c r="DS30" s="50"/>
      <c r="DT30" s="50"/>
      <c r="DU30" s="50"/>
      <c r="DV30" s="50"/>
      <c r="DW30" s="50"/>
      <c r="DX30" s="50"/>
      <c r="DY30" s="50"/>
      <c r="DZ30" s="50"/>
      <c r="EA30" s="50"/>
      <c r="EB30" s="50"/>
      <c r="EC30" s="50"/>
      <c r="ED30" s="50"/>
      <c r="EE30" s="50"/>
      <c r="EF30" s="50"/>
      <c r="EG30" s="50"/>
      <c r="EH30" s="50"/>
      <c r="EI30" s="50"/>
      <c r="EJ30" s="50"/>
      <c r="EK30" s="50"/>
      <c r="EL30" s="50"/>
      <c r="EM30" s="50"/>
      <c r="EN30" s="50"/>
      <c r="EO30" s="50"/>
      <c r="EP30" s="50"/>
      <c r="EQ30" s="50"/>
      <c r="ER30" s="50"/>
      <c r="ES30" s="50"/>
      <c r="ET30" s="50"/>
      <c r="EU30" s="50"/>
      <c r="EV30" s="50"/>
      <c r="EW30" s="50"/>
      <c r="EX30" s="50"/>
      <c r="EY30" s="50"/>
      <c r="EZ30" s="50"/>
      <c r="FA30" s="50"/>
      <c r="FB30" s="50"/>
      <c r="FC30" s="50"/>
      <c r="FD30" s="50"/>
      <c r="FE30" s="50"/>
      <c r="FF30" s="50"/>
      <c r="FG30" s="50"/>
      <c r="FH30" s="50"/>
      <c r="FI30" s="50"/>
      <c r="FJ30" s="50"/>
      <c r="FK30" s="50"/>
      <c r="FL30" s="50"/>
      <c r="FM30" s="50"/>
      <c r="FN30" s="50"/>
      <c r="FO30" s="50"/>
      <c r="FP30" s="50"/>
      <c r="FQ30" s="50"/>
      <c r="FR30" s="50"/>
      <c r="FS30" s="50"/>
      <c r="FT30" s="50"/>
      <c r="FU30" s="50"/>
      <c r="FV30" s="50"/>
      <c r="FW30" s="50"/>
      <c r="FX30" s="50"/>
      <c r="FY30" s="50"/>
      <c r="FZ30" s="50"/>
      <c r="GA30" s="50"/>
      <c r="GB30" s="50"/>
      <c r="GC30" s="50"/>
      <c r="GD30" s="50"/>
      <c r="GE30" s="50"/>
      <c r="GF30" s="50"/>
      <c r="GG30" s="50"/>
      <c r="GH30" s="50"/>
      <c r="GI30" s="50"/>
      <c r="GJ30" s="50"/>
      <c r="GK30" s="50"/>
      <c r="GL30" s="50"/>
      <c r="GM30" s="50"/>
      <c r="GN30" s="50"/>
      <c r="GO30" s="50"/>
      <c r="GP30" s="50"/>
      <c r="GQ30" s="50"/>
      <c r="GR30" s="50"/>
      <c r="GS30" s="50"/>
      <c r="GT30" s="50"/>
      <c r="GU30" s="50"/>
      <c r="GV30" s="50"/>
      <c r="GW30" s="50"/>
      <c r="GX30" s="50"/>
      <c r="GY30" s="50"/>
      <c r="GZ30" s="50"/>
      <c r="HA30" s="50"/>
      <c r="HB30" s="50"/>
      <c r="HC30" s="50"/>
      <c r="HD30" s="50"/>
      <c r="HE30" s="50"/>
      <c r="HF30" s="50"/>
      <c r="HG30" s="50"/>
      <c r="HH30" s="50"/>
      <c r="HI30" s="50"/>
      <c r="HJ30" s="50"/>
      <c r="HK30" s="50"/>
      <c r="HL30" s="50"/>
      <c r="HM30" s="50"/>
      <c r="HN30" s="50"/>
      <c r="HO30" s="50"/>
      <c r="HP30" s="50"/>
      <c r="HQ30" s="50"/>
      <c r="HR30" s="50"/>
      <c r="HS30" s="50"/>
      <c r="HT30" s="50"/>
      <c r="HU30" s="50"/>
      <c r="HV30" s="50"/>
      <c r="HW30" s="50"/>
      <c r="HX30" s="50"/>
      <c r="HY30" s="50"/>
      <c r="HZ30" s="50"/>
      <c r="IA30" s="50"/>
      <c r="IB30" s="50"/>
      <c r="IC30" s="50"/>
      <c r="ID30" s="50"/>
      <c r="IE30" s="50"/>
      <c r="IF30" s="50"/>
      <c r="IG30" s="50"/>
      <c r="IH30" s="50"/>
      <c r="II30" s="50"/>
      <c r="IJ30" s="50"/>
      <c r="IK30" s="50"/>
      <c r="IL30" s="50"/>
      <c r="IM30" s="50"/>
      <c r="IN30" s="50"/>
      <c r="IO30" s="50"/>
      <c r="IP30" s="50"/>
      <c r="IQ30" s="50"/>
      <c r="IR30" s="50"/>
      <c r="IS30" s="50"/>
      <c r="IT30" s="50"/>
      <c r="IU30" s="50"/>
      <c r="IV30" s="50"/>
    </row>
    <row r="31" spans="1:256" s="2" customFormat="1" ht="21" customHeight="1">
      <c r="A31" s="136" t="s">
        <v>1321</v>
      </c>
      <c r="B31" s="137" t="s">
        <v>66</v>
      </c>
      <c r="C31" s="47">
        <f t="shared" si="1"/>
        <v>2005580.15</v>
      </c>
      <c r="D31" s="252"/>
      <c r="E31" s="252"/>
      <c r="F31" s="252"/>
      <c r="G31" s="252"/>
      <c r="H31" s="252"/>
      <c r="I31" s="252"/>
      <c r="J31" s="47"/>
      <c r="K31" s="47"/>
      <c r="L31" s="47"/>
      <c r="M31" s="47">
        <f t="shared" si="5"/>
        <v>2005580.15</v>
      </c>
      <c r="N31" s="252">
        <f>+'PL 04'!W582+'PL 03'!W41</f>
        <v>1762171.15</v>
      </c>
      <c r="O31" s="47">
        <f>+'PL 04'!W323+'PL 03'!W28+'PL 02'!W26</f>
        <v>243409</v>
      </c>
      <c r="P31" s="47"/>
      <c r="Q31" s="47"/>
      <c r="R31" s="47"/>
      <c r="S31" s="116">
        <f t="shared" si="3"/>
        <v>0</v>
      </c>
      <c r="T31" s="275"/>
      <c r="U31" s="116">
        <f t="shared" si="4"/>
        <v>0</v>
      </c>
      <c r="V31" s="275"/>
      <c r="W31" s="275"/>
      <c r="X31" s="275"/>
      <c r="Y31" s="275"/>
      <c r="Z31" s="275"/>
      <c r="AA31" s="275"/>
      <c r="AB31" s="275"/>
      <c r="AC31" s="50"/>
      <c r="AD31" s="50"/>
      <c r="AE31" s="50"/>
      <c r="AF31" s="50"/>
      <c r="AG31" s="50"/>
      <c r="AH31" s="50"/>
      <c r="AI31" s="50"/>
      <c r="AJ31" s="50"/>
      <c r="AK31" s="50"/>
      <c r="AL31" s="50"/>
      <c r="AM31" s="50"/>
      <c r="AN31" s="50"/>
      <c r="AO31" s="50"/>
      <c r="AP31" s="50"/>
      <c r="AQ31" s="50"/>
      <c r="AR31" s="50"/>
      <c r="AS31" s="50"/>
      <c r="AT31" s="50"/>
      <c r="AU31" s="50"/>
      <c r="AV31" s="50"/>
      <c r="AW31" s="50"/>
      <c r="AX31" s="50"/>
      <c r="AY31" s="50"/>
      <c r="AZ31" s="50"/>
      <c r="BA31" s="50"/>
      <c r="BB31" s="50"/>
      <c r="BC31" s="50"/>
      <c r="BD31" s="50"/>
      <c r="BE31" s="50"/>
      <c r="BF31" s="50"/>
      <c r="BG31" s="50"/>
      <c r="BH31" s="50"/>
      <c r="BI31" s="50"/>
      <c r="BJ31" s="50"/>
      <c r="BK31" s="50"/>
      <c r="BL31" s="50"/>
      <c r="BM31" s="50"/>
      <c r="BN31" s="50"/>
      <c r="BO31" s="50"/>
      <c r="BP31" s="50"/>
      <c r="BQ31" s="50"/>
      <c r="BR31" s="50"/>
      <c r="BS31" s="50"/>
      <c r="BT31" s="50"/>
      <c r="BU31" s="50"/>
      <c r="BV31" s="50"/>
      <c r="BW31" s="50"/>
      <c r="BX31" s="50"/>
      <c r="BY31" s="50"/>
      <c r="BZ31" s="50"/>
      <c r="CA31" s="50"/>
      <c r="CB31" s="50"/>
      <c r="CC31" s="50"/>
      <c r="CD31" s="50"/>
      <c r="CE31" s="50"/>
      <c r="CF31" s="50"/>
      <c r="CG31" s="50"/>
      <c r="CH31" s="50"/>
      <c r="CI31" s="50"/>
      <c r="CJ31" s="50"/>
      <c r="CK31" s="50"/>
      <c r="CL31" s="50"/>
      <c r="CM31" s="50"/>
      <c r="CN31" s="50"/>
      <c r="CO31" s="50"/>
      <c r="CP31" s="50"/>
      <c r="CQ31" s="50"/>
      <c r="CR31" s="50"/>
      <c r="CS31" s="50"/>
      <c r="CT31" s="50"/>
      <c r="CU31" s="50"/>
      <c r="CV31" s="50"/>
      <c r="CW31" s="50"/>
      <c r="CX31" s="50"/>
      <c r="CY31" s="50"/>
      <c r="CZ31" s="50"/>
      <c r="DA31" s="50"/>
      <c r="DB31" s="50"/>
      <c r="DC31" s="50"/>
      <c r="DD31" s="50"/>
      <c r="DE31" s="50"/>
      <c r="DF31" s="50"/>
      <c r="DG31" s="50"/>
      <c r="DH31" s="50"/>
      <c r="DI31" s="50"/>
      <c r="DJ31" s="50"/>
      <c r="DK31" s="50"/>
      <c r="DL31" s="50"/>
      <c r="DM31" s="50"/>
      <c r="DN31" s="50"/>
      <c r="DO31" s="50"/>
      <c r="DP31" s="50"/>
      <c r="DQ31" s="50"/>
      <c r="DR31" s="50"/>
      <c r="DS31" s="50"/>
      <c r="DT31" s="50"/>
      <c r="DU31" s="50"/>
      <c r="DV31" s="50"/>
      <c r="DW31" s="50"/>
      <c r="DX31" s="50"/>
      <c r="DY31" s="50"/>
      <c r="DZ31" s="50"/>
      <c r="EA31" s="50"/>
      <c r="EB31" s="50"/>
      <c r="EC31" s="50"/>
      <c r="ED31" s="50"/>
      <c r="EE31" s="50"/>
      <c r="EF31" s="50"/>
      <c r="EG31" s="50"/>
      <c r="EH31" s="50"/>
      <c r="EI31" s="50"/>
      <c r="EJ31" s="50"/>
      <c r="EK31" s="50"/>
      <c r="EL31" s="50"/>
      <c r="EM31" s="50"/>
      <c r="EN31" s="50"/>
      <c r="EO31" s="50"/>
      <c r="EP31" s="50"/>
      <c r="EQ31" s="50"/>
      <c r="ER31" s="50"/>
      <c r="ES31" s="50"/>
      <c r="ET31" s="50"/>
      <c r="EU31" s="50"/>
      <c r="EV31" s="50"/>
      <c r="EW31" s="50"/>
      <c r="EX31" s="50"/>
      <c r="EY31" s="50"/>
      <c r="EZ31" s="50"/>
      <c r="FA31" s="50"/>
      <c r="FB31" s="50"/>
      <c r="FC31" s="50"/>
      <c r="FD31" s="50"/>
      <c r="FE31" s="50"/>
      <c r="FF31" s="50"/>
      <c r="FG31" s="50"/>
      <c r="FH31" s="50"/>
      <c r="FI31" s="50"/>
      <c r="FJ31" s="50"/>
      <c r="FK31" s="50"/>
      <c r="FL31" s="50"/>
      <c r="FM31" s="50"/>
      <c r="FN31" s="50"/>
      <c r="FO31" s="50"/>
      <c r="FP31" s="50"/>
      <c r="FQ31" s="50"/>
      <c r="FR31" s="50"/>
      <c r="FS31" s="50"/>
      <c r="FT31" s="50"/>
      <c r="FU31" s="50"/>
      <c r="FV31" s="50"/>
      <c r="FW31" s="50"/>
      <c r="FX31" s="50"/>
      <c r="FY31" s="50"/>
      <c r="FZ31" s="50"/>
      <c r="GA31" s="50"/>
      <c r="GB31" s="50"/>
      <c r="GC31" s="50"/>
      <c r="GD31" s="50"/>
      <c r="GE31" s="50"/>
      <c r="GF31" s="50"/>
      <c r="GG31" s="50"/>
      <c r="GH31" s="50"/>
      <c r="GI31" s="50"/>
      <c r="GJ31" s="50"/>
      <c r="GK31" s="50"/>
      <c r="GL31" s="50"/>
      <c r="GM31" s="50"/>
      <c r="GN31" s="50"/>
      <c r="GO31" s="50"/>
      <c r="GP31" s="50"/>
      <c r="GQ31" s="50"/>
      <c r="GR31" s="50"/>
      <c r="GS31" s="50"/>
      <c r="GT31" s="50"/>
      <c r="GU31" s="50"/>
      <c r="GV31" s="50"/>
      <c r="GW31" s="50"/>
      <c r="GX31" s="50"/>
      <c r="GY31" s="50"/>
      <c r="GZ31" s="50"/>
      <c r="HA31" s="50"/>
      <c r="HB31" s="50"/>
      <c r="HC31" s="50"/>
      <c r="HD31" s="50"/>
      <c r="HE31" s="50"/>
      <c r="HF31" s="50"/>
      <c r="HG31" s="50"/>
      <c r="HH31" s="50"/>
      <c r="HI31" s="50"/>
      <c r="HJ31" s="50"/>
      <c r="HK31" s="50"/>
      <c r="HL31" s="50"/>
      <c r="HM31" s="50"/>
      <c r="HN31" s="50"/>
      <c r="HO31" s="50"/>
      <c r="HP31" s="50"/>
      <c r="HQ31" s="50"/>
      <c r="HR31" s="50"/>
      <c r="HS31" s="50"/>
      <c r="HT31" s="50"/>
      <c r="HU31" s="50"/>
      <c r="HV31" s="50"/>
      <c r="HW31" s="50"/>
      <c r="HX31" s="50"/>
      <c r="HY31" s="50"/>
      <c r="HZ31" s="50"/>
      <c r="IA31" s="50"/>
      <c r="IB31" s="50"/>
      <c r="IC31" s="50"/>
      <c r="ID31" s="50"/>
      <c r="IE31" s="50"/>
      <c r="IF31" s="50"/>
      <c r="IG31" s="50"/>
      <c r="IH31" s="50"/>
      <c r="II31" s="50"/>
      <c r="IJ31" s="50"/>
      <c r="IK31" s="50"/>
      <c r="IL31" s="50"/>
      <c r="IM31" s="50"/>
      <c r="IN31" s="50"/>
      <c r="IO31" s="50"/>
      <c r="IP31" s="50"/>
      <c r="IQ31" s="50"/>
      <c r="IR31" s="50"/>
      <c r="IS31" s="50"/>
      <c r="IT31" s="50"/>
      <c r="IU31" s="50"/>
      <c r="IV31" s="50"/>
    </row>
    <row r="32" spans="1:256" s="2" customFormat="1" ht="32.25" customHeight="1">
      <c r="A32" s="136" t="s">
        <v>1376</v>
      </c>
      <c r="B32" s="137" t="s">
        <v>704</v>
      </c>
      <c r="C32" s="47">
        <f t="shared" si="1"/>
        <v>137622.92199999999</v>
      </c>
      <c r="D32" s="252">
        <f>+'PL 04'!W130</f>
        <v>26196</v>
      </c>
      <c r="E32" s="252"/>
      <c r="F32" s="252"/>
      <c r="G32" s="252"/>
      <c r="H32" s="252"/>
      <c r="I32" s="252"/>
      <c r="J32" s="47"/>
      <c r="K32" s="47"/>
      <c r="L32" s="47"/>
      <c r="M32" s="47">
        <f t="shared" si="5"/>
        <v>61426.921999999999</v>
      </c>
      <c r="N32" s="252">
        <f>+'PL 04'!W786</f>
        <v>58326.921999999999</v>
      </c>
      <c r="O32" s="47">
        <f>+'PL 04'!W531</f>
        <v>3100</v>
      </c>
      <c r="P32" s="47"/>
      <c r="Q32" s="47">
        <f>+'PL 04'!W983</f>
        <v>50000</v>
      </c>
      <c r="R32" s="47"/>
      <c r="S32" s="116">
        <f t="shared" si="3"/>
        <v>0</v>
      </c>
      <c r="T32" s="275"/>
      <c r="U32" s="116">
        <f t="shared" si="4"/>
        <v>0</v>
      </c>
      <c r="V32" s="275"/>
      <c r="W32" s="275"/>
      <c r="X32" s="275"/>
      <c r="Y32" s="275"/>
      <c r="Z32" s="275"/>
      <c r="AA32" s="275"/>
      <c r="AB32" s="275"/>
      <c r="AC32" s="50"/>
      <c r="AD32" s="50"/>
      <c r="AE32" s="50"/>
      <c r="AF32" s="50"/>
      <c r="AG32" s="50"/>
      <c r="AH32" s="50"/>
      <c r="AI32" s="50"/>
      <c r="AJ32" s="50"/>
      <c r="AK32" s="50"/>
      <c r="AL32" s="50"/>
      <c r="AM32" s="50"/>
      <c r="AN32" s="50"/>
      <c r="AO32" s="50"/>
      <c r="AP32" s="50"/>
      <c r="AQ32" s="50"/>
      <c r="AR32" s="50"/>
      <c r="AS32" s="50"/>
      <c r="AT32" s="50"/>
      <c r="AU32" s="50"/>
      <c r="AV32" s="50"/>
      <c r="AW32" s="50"/>
      <c r="AX32" s="50"/>
      <c r="AY32" s="50"/>
      <c r="AZ32" s="50"/>
      <c r="BA32" s="50"/>
      <c r="BB32" s="50"/>
      <c r="BC32" s="50"/>
      <c r="BD32" s="50"/>
      <c r="BE32" s="50"/>
      <c r="BF32" s="50"/>
      <c r="BG32" s="50"/>
      <c r="BH32" s="50"/>
      <c r="BI32" s="50"/>
      <c r="BJ32" s="50"/>
      <c r="BK32" s="50"/>
      <c r="BL32" s="50"/>
      <c r="BM32" s="50"/>
      <c r="BN32" s="50"/>
      <c r="BO32" s="50"/>
      <c r="BP32" s="50"/>
      <c r="BQ32" s="50"/>
      <c r="BR32" s="50"/>
      <c r="BS32" s="50"/>
      <c r="BT32" s="50"/>
      <c r="BU32" s="50"/>
      <c r="BV32" s="50"/>
      <c r="BW32" s="50"/>
      <c r="BX32" s="50"/>
      <c r="BY32" s="50"/>
      <c r="BZ32" s="50"/>
      <c r="CA32" s="50"/>
      <c r="CB32" s="50"/>
      <c r="CC32" s="50"/>
      <c r="CD32" s="50"/>
      <c r="CE32" s="50"/>
      <c r="CF32" s="50"/>
      <c r="CG32" s="50"/>
      <c r="CH32" s="50"/>
      <c r="CI32" s="50"/>
      <c r="CJ32" s="50"/>
      <c r="CK32" s="50"/>
      <c r="CL32" s="50"/>
      <c r="CM32" s="50"/>
      <c r="CN32" s="50"/>
      <c r="CO32" s="50"/>
      <c r="CP32" s="50"/>
      <c r="CQ32" s="50"/>
      <c r="CR32" s="50"/>
      <c r="CS32" s="50"/>
      <c r="CT32" s="50"/>
      <c r="CU32" s="50"/>
      <c r="CV32" s="50"/>
      <c r="CW32" s="50"/>
      <c r="CX32" s="50"/>
      <c r="CY32" s="50"/>
      <c r="CZ32" s="50"/>
      <c r="DA32" s="50"/>
      <c r="DB32" s="50"/>
      <c r="DC32" s="50"/>
      <c r="DD32" s="50"/>
      <c r="DE32" s="50"/>
      <c r="DF32" s="50"/>
      <c r="DG32" s="50"/>
      <c r="DH32" s="50"/>
      <c r="DI32" s="50"/>
      <c r="DJ32" s="50"/>
      <c r="DK32" s="50"/>
      <c r="DL32" s="50"/>
      <c r="DM32" s="50"/>
      <c r="DN32" s="50"/>
      <c r="DO32" s="50"/>
      <c r="DP32" s="50"/>
      <c r="DQ32" s="50"/>
      <c r="DR32" s="50"/>
      <c r="DS32" s="50"/>
      <c r="DT32" s="50"/>
      <c r="DU32" s="50"/>
      <c r="DV32" s="50"/>
      <c r="DW32" s="50"/>
      <c r="DX32" s="50"/>
      <c r="DY32" s="50"/>
      <c r="DZ32" s="50"/>
      <c r="EA32" s="50"/>
      <c r="EB32" s="50"/>
      <c r="EC32" s="50"/>
      <c r="ED32" s="50"/>
      <c r="EE32" s="50"/>
      <c r="EF32" s="50"/>
      <c r="EG32" s="50"/>
      <c r="EH32" s="50"/>
      <c r="EI32" s="50"/>
      <c r="EJ32" s="50"/>
      <c r="EK32" s="50"/>
      <c r="EL32" s="50"/>
      <c r="EM32" s="50"/>
      <c r="EN32" s="50"/>
      <c r="EO32" s="50"/>
      <c r="EP32" s="50"/>
      <c r="EQ32" s="50"/>
      <c r="ER32" s="50"/>
      <c r="ES32" s="50"/>
      <c r="ET32" s="50"/>
      <c r="EU32" s="50"/>
      <c r="EV32" s="50"/>
      <c r="EW32" s="50"/>
      <c r="EX32" s="50"/>
      <c r="EY32" s="50"/>
      <c r="EZ32" s="50"/>
      <c r="FA32" s="50"/>
      <c r="FB32" s="50"/>
      <c r="FC32" s="50"/>
      <c r="FD32" s="50"/>
      <c r="FE32" s="50"/>
      <c r="FF32" s="50"/>
      <c r="FG32" s="50"/>
      <c r="FH32" s="50"/>
      <c r="FI32" s="50"/>
      <c r="FJ32" s="50"/>
      <c r="FK32" s="50"/>
      <c r="FL32" s="50"/>
      <c r="FM32" s="50"/>
      <c r="FN32" s="50"/>
      <c r="FO32" s="50"/>
      <c r="FP32" s="50"/>
      <c r="FQ32" s="50"/>
      <c r="FR32" s="50"/>
      <c r="FS32" s="50"/>
      <c r="FT32" s="50"/>
      <c r="FU32" s="50"/>
      <c r="FV32" s="50"/>
      <c r="FW32" s="50"/>
      <c r="FX32" s="50"/>
      <c r="FY32" s="50"/>
      <c r="FZ32" s="50"/>
      <c r="GA32" s="50"/>
      <c r="GB32" s="50"/>
      <c r="GC32" s="50"/>
      <c r="GD32" s="50"/>
      <c r="GE32" s="50"/>
      <c r="GF32" s="50"/>
      <c r="GG32" s="50"/>
      <c r="GH32" s="50"/>
      <c r="GI32" s="50"/>
      <c r="GJ32" s="50"/>
      <c r="GK32" s="50"/>
      <c r="GL32" s="50"/>
      <c r="GM32" s="50"/>
      <c r="GN32" s="50"/>
      <c r="GO32" s="50"/>
      <c r="GP32" s="50"/>
      <c r="GQ32" s="50"/>
      <c r="GR32" s="50"/>
      <c r="GS32" s="50"/>
      <c r="GT32" s="50"/>
      <c r="GU32" s="50"/>
      <c r="GV32" s="50"/>
      <c r="GW32" s="50"/>
      <c r="GX32" s="50"/>
      <c r="GY32" s="50"/>
      <c r="GZ32" s="50"/>
      <c r="HA32" s="50"/>
      <c r="HB32" s="50"/>
      <c r="HC32" s="50"/>
      <c r="HD32" s="50"/>
      <c r="HE32" s="50"/>
      <c r="HF32" s="50"/>
      <c r="HG32" s="50"/>
      <c r="HH32" s="50"/>
      <c r="HI32" s="50"/>
      <c r="HJ32" s="50"/>
      <c r="HK32" s="50"/>
      <c r="HL32" s="50"/>
      <c r="HM32" s="50"/>
      <c r="HN32" s="50"/>
      <c r="HO32" s="50"/>
      <c r="HP32" s="50"/>
      <c r="HQ32" s="50"/>
      <c r="HR32" s="50"/>
      <c r="HS32" s="50"/>
      <c r="HT32" s="50"/>
      <c r="HU32" s="50"/>
      <c r="HV32" s="50"/>
      <c r="HW32" s="50"/>
      <c r="HX32" s="50"/>
      <c r="HY32" s="50"/>
      <c r="HZ32" s="50"/>
      <c r="IA32" s="50"/>
      <c r="IB32" s="50"/>
      <c r="IC32" s="50"/>
      <c r="ID32" s="50"/>
      <c r="IE32" s="50"/>
      <c r="IF32" s="50"/>
      <c r="IG32" s="50"/>
      <c r="IH32" s="50"/>
      <c r="II32" s="50"/>
      <c r="IJ32" s="50"/>
      <c r="IK32" s="50"/>
      <c r="IL32" s="50"/>
      <c r="IM32" s="50"/>
      <c r="IN32" s="50"/>
      <c r="IO32" s="50"/>
      <c r="IP32" s="50"/>
      <c r="IQ32" s="50"/>
      <c r="IR32" s="50"/>
      <c r="IS32" s="50"/>
      <c r="IT32" s="50"/>
      <c r="IU32" s="50"/>
      <c r="IV32" s="50"/>
    </row>
    <row r="33" spans="1:256" s="2" customFormat="1" ht="32.25" customHeight="1">
      <c r="A33" s="136" t="s">
        <v>1377</v>
      </c>
      <c r="B33" s="137" t="s">
        <v>974</v>
      </c>
      <c r="C33" s="47">
        <f t="shared" si="1"/>
        <v>151000</v>
      </c>
      <c r="D33" s="252"/>
      <c r="E33" s="252"/>
      <c r="F33" s="252"/>
      <c r="G33" s="252"/>
      <c r="H33" s="252"/>
      <c r="I33" s="252"/>
      <c r="J33" s="47"/>
      <c r="K33" s="47"/>
      <c r="L33" s="47"/>
      <c r="M33" s="47">
        <f>+'PL 04'!W887+N33+O33</f>
        <v>116000</v>
      </c>
      <c r="N33" s="252">
        <f>+'PL 04'!W819</f>
        <v>76400</v>
      </c>
      <c r="O33" s="47"/>
      <c r="P33" s="47">
        <f>+'PL 04'!W977</f>
        <v>35000</v>
      </c>
      <c r="Q33" s="47"/>
      <c r="R33" s="47"/>
      <c r="S33" s="116">
        <f t="shared" si="3"/>
        <v>39600</v>
      </c>
      <c r="T33" s="275"/>
      <c r="U33" s="116">
        <f t="shared" si="4"/>
        <v>39600</v>
      </c>
      <c r="V33" s="275"/>
      <c r="W33" s="275"/>
      <c r="X33" s="275"/>
      <c r="Y33" s="275"/>
      <c r="Z33" s="275"/>
      <c r="AA33" s="275"/>
      <c r="AB33" s="275"/>
      <c r="AC33" s="50"/>
      <c r="AD33" s="50"/>
      <c r="AE33" s="50"/>
      <c r="AF33" s="50"/>
      <c r="AG33" s="50"/>
      <c r="AH33" s="50"/>
      <c r="AI33" s="50"/>
      <c r="AJ33" s="50"/>
      <c r="AK33" s="50"/>
      <c r="AL33" s="50"/>
      <c r="AM33" s="50"/>
      <c r="AN33" s="50"/>
      <c r="AO33" s="50"/>
      <c r="AP33" s="50"/>
      <c r="AQ33" s="50"/>
      <c r="AR33" s="50"/>
      <c r="AS33" s="50"/>
      <c r="AT33" s="50"/>
      <c r="AU33" s="50"/>
      <c r="AV33" s="50"/>
      <c r="AW33" s="50"/>
      <c r="AX33" s="50"/>
      <c r="AY33" s="50"/>
      <c r="AZ33" s="50"/>
      <c r="BA33" s="50"/>
      <c r="BB33" s="50"/>
      <c r="BC33" s="50"/>
      <c r="BD33" s="50"/>
      <c r="BE33" s="50"/>
      <c r="BF33" s="50"/>
      <c r="BG33" s="50"/>
      <c r="BH33" s="50"/>
      <c r="BI33" s="50"/>
      <c r="BJ33" s="50"/>
      <c r="BK33" s="50"/>
      <c r="BL33" s="50"/>
      <c r="BM33" s="50"/>
      <c r="BN33" s="50"/>
      <c r="BO33" s="50"/>
      <c r="BP33" s="50"/>
      <c r="BQ33" s="50"/>
      <c r="BR33" s="50"/>
      <c r="BS33" s="50"/>
      <c r="BT33" s="50"/>
      <c r="BU33" s="50"/>
      <c r="BV33" s="50"/>
      <c r="BW33" s="50"/>
      <c r="BX33" s="50"/>
      <c r="BY33" s="50"/>
      <c r="BZ33" s="50"/>
      <c r="CA33" s="50"/>
      <c r="CB33" s="50"/>
      <c r="CC33" s="50"/>
      <c r="CD33" s="50"/>
      <c r="CE33" s="50"/>
      <c r="CF33" s="50"/>
      <c r="CG33" s="50"/>
      <c r="CH33" s="50"/>
      <c r="CI33" s="50"/>
      <c r="CJ33" s="50"/>
      <c r="CK33" s="50"/>
      <c r="CL33" s="50"/>
      <c r="CM33" s="50"/>
      <c r="CN33" s="50"/>
      <c r="CO33" s="50"/>
      <c r="CP33" s="50"/>
      <c r="CQ33" s="50"/>
      <c r="CR33" s="50"/>
      <c r="CS33" s="50"/>
      <c r="CT33" s="50"/>
      <c r="CU33" s="50"/>
      <c r="CV33" s="50"/>
      <c r="CW33" s="50"/>
      <c r="CX33" s="50"/>
      <c r="CY33" s="50"/>
      <c r="CZ33" s="50"/>
      <c r="DA33" s="50"/>
      <c r="DB33" s="50"/>
      <c r="DC33" s="50"/>
      <c r="DD33" s="50"/>
      <c r="DE33" s="50"/>
      <c r="DF33" s="50"/>
      <c r="DG33" s="50"/>
      <c r="DH33" s="50"/>
      <c r="DI33" s="50"/>
      <c r="DJ33" s="50"/>
      <c r="DK33" s="50"/>
      <c r="DL33" s="50"/>
      <c r="DM33" s="50"/>
      <c r="DN33" s="50"/>
      <c r="DO33" s="50"/>
      <c r="DP33" s="50"/>
      <c r="DQ33" s="50"/>
      <c r="DR33" s="50"/>
      <c r="DS33" s="50"/>
      <c r="DT33" s="50"/>
      <c r="DU33" s="50"/>
      <c r="DV33" s="50"/>
      <c r="DW33" s="50"/>
      <c r="DX33" s="50"/>
      <c r="DY33" s="50"/>
      <c r="DZ33" s="50"/>
      <c r="EA33" s="50"/>
      <c r="EB33" s="50"/>
      <c r="EC33" s="50"/>
      <c r="ED33" s="50"/>
      <c r="EE33" s="50"/>
      <c r="EF33" s="50"/>
      <c r="EG33" s="50"/>
      <c r="EH33" s="50"/>
      <c r="EI33" s="50"/>
      <c r="EJ33" s="50"/>
      <c r="EK33" s="50"/>
      <c r="EL33" s="50"/>
      <c r="EM33" s="50"/>
      <c r="EN33" s="50"/>
      <c r="EO33" s="50"/>
      <c r="EP33" s="50"/>
      <c r="EQ33" s="50"/>
      <c r="ER33" s="50"/>
      <c r="ES33" s="50"/>
      <c r="ET33" s="50"/>
      <c r="EU33" s="50"/>
      <c r="EV33" s="50"/>
      <c r="EW33" s="50"/>
      <c r="EX33" s="50"/>
      <c r="EY33" s="50"/>
      <c r="EZ33" s="50"/>
      <c r="FA33" s="50"/>
      <c r="FB33" s="50"/>
      <c r="FC33" s="50"/>
      <c r="FD33" s="50"/>
      <c r="FE33" s="50"/>
      <c r="FF33" s="50"/>
      <c r="FG33" s="50"/>
      <c r="FH33" s="50"/>
      <c r="FI33" s="50"/>
      <c r="FJ33" s="50"/>
      <c r="FK33" s="50"/>
      <c r="FL33" s="50"/>
      <c r="FM33" s="50"/>
      <c r="FN33" s="50"/>
      <c r="FO33" s="50"/>
      <c r="FP33" s="50"/>
      <c r="FQ33" s="50"/>
      <c r="FR33" s="50"/>
      <c r="FS33" s="50"/>
      <c r="FT33" s="50"/>
      <c r="FU33" s="50"/>
      <c r="FV33" s="50"/>
      <c r="FW33" s="50"/>
      <c r="FX33" s="50"/>
      <c r="FY33" s="50"/>
      <c r="FZ33" s="50"/>
      <c r="GA33" s="50"/>
      <c r="GB33" s="50"/>
      <c r="GC33" s="50"/>
      <c r="GD33" s="50"/>
      <c r="GE33" s="50"/>
      <c r="GF33" s="50"/>
      <c r="GG33" s="50"/>
      <c r="GH33" s="50"/>
      <c r="GI33" s="50"/>
      <c r="GJ33" s="50"/>
      <c r="GK33" s="50"/>
      <c r="GL33" s="50"/>
      <c r="GM33" s="50"/>
      <c r="GN33" s="50"/>
      <c r="GO33" s="50"/>
      <c r="GP33" s="50"/>
      <c r="GQ33" s="50"/>
      <c r="GR33" s="50"/>
      <c r="GS33" s="50"/>
      <c r="GT33" s="50"/>
      <c r="GU33" s="50"/>
      <c r="GV33" s="50"/>
      <c r="GW33" s="50"/>
      <c r="GX33" s="50"/>
      <c r="GY33" s="50"/>
      <c r="GZ33" s="50"/>
      <c r="HA33" s="50"/>
      <c r="HB33" s="50"/>
      <c r="HC33" s="50"/>
      <c r="HD33" s="50"/>
      <c r="HE33" s="50"/>
      <c r="HF33" s="50"/>
      <c r="HG33" s="50"/>
      <c r="HH33" s="50"/>
      <c r="HI33" s="50"/>
      <c r="HJ33" s="50"/>
      <c r="HK33" s="50"/>
      <c r="HL33" s="50"/>
      <c r="HM33" s="50"/>
      <c r="HN33" s="50"/>
      <c r="HO33" s="50"/>
      <c r="HP33" s="50"/>
      <c r="HQ33" s="50"/>
      <c r="HR33" s="50"/>
      <c r="HS33" s="50"/>
      <c r="HT33" s="50"/>
      <c r="HU33" s="50"/>
      <c r="HV33" s="50"/>
      <c r="HW33" s="50"/>
      <c r="HX33" s="50"/>
      <c r="HY33" s="50"/>
      <c r="HZ33" s="50"/>
      <c r="IA33" s="50"/>
      <c r="IB33" s="50"/>
      <c r="IC33" s="50"/>
      <c r="ID33" s="50"/>
      <c r="IE33" s="50"/>
      <c r="IF33" s="50"/>
      <c r="IG33" s="50"/>
      <c r="IH33" s="50"/>
      <c r="II33" s="50"/>
      <c r="IJ33" s="50"/>
      <c r="IK33" s="50"/>
      <c r="IL33" s="50"/>
      <c r="IM33" s="50"/>
      <c r="IN33" s="50"/>
      <c r="IO33" s="50"/>
      <c r="IP33" s="50"/>
      <c r="IQ33" s="50"/>
      <c r="IR33" s="50"/>
      <c r="IS33" s="50"/>
      <c r="IT33" s="50"/>
      <c r="IU33" s="50"/>
      <c r="IV33" s="50"/>
    </row>
    <row r="34" spans="1:256" s="2" customFormat="1" ht="32.25" customHeight="1">
      <c r="A34" s="136" t="s">
        <v>1378</v>
      </c>
      <c r="B34" s="137" t="s">
        <v>732</v>
      </c>
      <c r="C34" s="47">
        <f t="shared" si="1"/>
        <v>105000</v>
      </c>
      <c r="D34" s="252"/>
      <c r="E34" s="252"/>
      <c r="F34" s="252"/>
      <c r="G34" s="252"/>
      <c r="H34" s="252"/>
      <c r="I34" s="252"/>
      <c r="J34" s="47"/>
      <c r="K34" s="47"/>
      <c r="L34" s="47"/>
      <c r="M34" s="47">
        <f>+N34+O34</f>
        <v>105000</v>
      </c>
      <c r="N34" s="252">
        <f>+'PL 04'!W813</f>
        <v>35000</v>
      </c>
      <c r="O34" s="47">
        <f>+'PL 04'!W554</f>
        <v>70000</v>
      </c>
      <c r="P34" s="47"/>
      <c r="Q34" s="47"/>
      <c r="R34" s="47"/>
      <c r="S34" s="116">
        <f t="shared" si="3"/>
        <v>0</v>
      </c>
      <c r="T34" s="275"/>
      <c r="U34" s="116">
        <f t="shared" si="4"/>
        <v>0</v>
      </c>
      <c r="V34" s="275"/>
      <c r="W34" s="275"/>
      <c r="X34" s="275"/>
      <c r="Y34" s="275"/>
      <c r="Z34" s="275"/>
      <c r="AA34" s="275"/>
      <c r="AB34" s="275"/>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50"/>
      <c r="BC34" s="50"/>
      <c r="BD34" s="50"/>
      <c r="BE34" s="50"/>
      <c r="BF34" s="50"/>
      <c r="BG34" s="50"/>
      <c r="BH34" s="50"/>
      <c r="BI34" s="50"/>
      <c r="BJ34" s="50"/>
      <c r="BK34" s="50"/>
      <c r="BL34" s="50"/>
      <c r="BM34" s="50"/>
      <c r="BN34" s="50"/>
      <c r="BO34" s="50"/>
      <c r="BP34" s="50"/>
      <c r="BQ34" s="50"/>
      <c r="BR34" s="50"/>
      <c r="BS34" s="50"/>
      <c r="BT34" s="50"/>
      <c r="BU34" s="50"/>
      <c r="BV34" s="50"/>
      <c r="BW34" s="50"/>
      <c r="BX34" s="50"/>
      <c r="BY34" s="50"/>
      <c r="BZ34" s="50"/>
      <c r="CA34" s="50"/>
      <c r="CB34" s="50"/>
      <c r="CC34" s="50"/>
      <c r="CD34" s="50"/>
      <c r="CE34" s="50"/>
      <c r="CF34" s="50"/>
      <c r="CG34" s="50"/>
      <c r="CH34" s="50"/>
      <c r="CI34" s="50"/>
      <c r="CJ34" s="50"/>
      <c r="CK34" s="50"/>
      <c r="CL34" s="50"/>
      <c r="CM34" s="50"/>
      <c r="CN34" s="50"/>
      <c r="CO34" s="50"/>
      <c r="CP34" s="50"/>
      <c r="CQ34" s="50"/>
      <c r="CR34" s="50"/>
      <c r="CS34" s="50"/>
      <c r="CT34" s="50"/>
      <c r="CU34" s="50"/>
      <c r="CV34" s="50"/>
      <c r="CW34" s="50"/>
      <c r="CX34" s="50"/>
      <c r="CY34" s="50"/>
      <c r="CZ34" s="50"/>
      <c r="DA34" s="50"/>
      <c r="DB34" s="50"/>
      <c r="DC34" s="50"/>
      <c r="DD34" s="50"/>
      <c r="DE34" s="50"/>
      <c r="DF34" s="50"/>
      <c r="DG34" s="50"/>
      <c r="DH34" s="50"/>
      <c r="DI34" s="50"/>
      <c r="DJ34" s="50"/>
      <c r="DK34" s="50"/>
      <c r="DL34" s="50"/>
      <c r="DM34" s="50"/>
      <c r="DN34" s="50"/>
      <c r="DO34" s="50"/>
      <c r="DP34" s="50"/>
      <c r="DQ34" s="50"/>
      <c r="DR34" s="50"/>
      <c r="DS34" s="50"/>
      <c r="DT34" s="50"/>
      <c r="DU34" s="50"/>
      <c r="DV34" s="50"/>
      <c r="DW34" s="50"/>
      <c r="DX34" s="50"/>
      <c r="DY34" s="50"/>
      <c r="DZ34" s="50"/>
      <c r="EA34" s="50"/>
      <c r="EB34" s="50"/>
      <c r="EC34" s="50"/>
      <c r="ED34" s="50"/>
      <c r="EE34" s="50"/>
      <c r="EF34" s="50"/>
      <c r="EG34" s="50"/>
      <c r="EH34" s="50"/>
      <c r="EI34" s="50"/>
      <c r="EJ34" s="50"/>
      <c r="EK34" s="50"/>
      <c r="EL34" s="50"/>
      <c r="EM34" s="50"/>
      <c r="EN34" s="50"/>
      <c r="EO34" s="50"/>
      <c r="EP34" s="50"/>
      <c r="EQ34" s="50"/>
      <c r="ER34" s="50"/>
      <c r="ES34" s="50"/>
      <c r="ET34" s="50"/>
      <c r="EU34" s="50"/>
      <c r="EV34" s="50"/>
      <c r="EW34" s="50"/>
      <c r="EX34" s="50"/>
      <c r="EY34" s="50"/>
      <c r="EZ34" s="50"/>
      <c r="FA34" s="50"/>
      <c r="FB34" s="50"/>
      <c r="FC34" s="50"/>
      <c r="FD34" s="50"/>
      <c r="FE34" s="50"/>
      <c r="FF34" s="50"/>
      <c r="FG34" s="50"/>
      <c r="FH34" s="50"/>
      <c r="FI34" s="50"/>
      <c r="FJ34" s="50"/>
      <c r="FK34" s="50"/>
      <c r="FL34" s="50"/>
      <c r="FM34" s="50"/>
      <c r="FN34" s="50"/>
      <c r="FO34" s="50"/>
      <c r="FP34" s="50"/>
      <c r="FQ34" s="50"/>
      <c r="FR34" s="50"/>
      <c r="FS34" s="50"/>
      <c r="FT34" s="50"/>
      <c r="FU34" s="50"/>
      <c r="FV34" s="50"/>
      <c r="FW34" s="50"/>
      <c r="FX34" s="50"/>
      <c r="FY34" s="50"/>
      <c r="FZ34" s="50"/>
      <c r="GA34" s="50"/>
      <c r="GB34" s="50"/>
      <c r="GC34" s="50"/>
      <c r="GD34" s="50"/>
      <c r="GE34" s="50"/>
      <c r="GF34" s="50"/>
      <c r="GG34" s="50"/>
      <c r="GH34" s="50"/>
      <c r="GI34" s="50"/>
      <c r="GJ34" s="50"/>
      <c r="GK34" s="50"/>
      <c r="GL34" s="50"/>
      <c r="GM34" s="50"/>
      <c r="GN34" s="50"/>
      <c r="GO34" s="50"/>
      <c r="GP34" s="50"/>
      <c r="GQ34" s="50"/>
      <c r="GR34" s="50"/>
      <c r="GS34" s="50"/>
      <c r="GT34" s="50"/>
      <c r="GU34" s="50"/>
      <c r="GV34" s="50"/>
      <c r="GW34" s="50"/>
      <c r="GX34" s="50"/>
      <c r="GY34" s="50"/>
      <c r="GZ34" s="50"/>
      <c r="HA34" s="50"/>
      <c r="HB34" s="50"/>
      <c r="HC34" s="50"/>
      <c r="HD34" s="50"/>
      <c r="HE34" s="50"/>
      <c r="HF34" s="50"/>
      <c r="HG34" s="50"/>
      <c r="HH34" s="50"/>
      <c r="HI34" s="50"/>
      <c r="HJ34" s="50"/>
      <c r="HK34" s="50"/>
      <c r="HL34" s="50"/>
      <c r="HM34" s="50"/>
      <c r="HN34" s="50"/>
      <c r="HO34" s="50"/>
      <c r="HP34" s="50"/>
      <c r="HQ34" s="50"/>
      <c r="HR34" s="50"/>
      <c r="HS34" s="50"/>
      <c r="HT34" s="50"/>
      <c r="HU34" s="50"/>
      <c r="HV34" s="50"/>
      <c r="HW34" s="50"/>
      <c r="HX34" s="50"/>
      <c r="HY34" s="50"/>
      <c r="HZ34" s="50"/>
      <c r="IA34" s="50"/>
      <c r="IB34" s="50"/>
      <c r="IC34" s="50"/>
      <c r="ID34" s="50"/>
      <c r="IE34" s="50"/>
      <c r="IF34" s="50"/>
      <c r="IG34" s="50"/>
      <c r="IH34" s="50"/>
      <c r="II34" s="50"/>
      <c r="IJ34" s="50"/>
      <c r="IK34" s="50"/>
      <c r="IL34" s="50"/>
      <c r="IM34" s="50"/>
      <c r="IN34" s="50"/>
      <c r="IO34" s="50"/>
      <c r="IP34" s="50"/>
      <c r="IQ34" s="50"/>
      <c r="IR34" s="50"/>
      <c r="IS34" s="50"/>
      <c r="IT34" s="50"/>
      <c r="IU34" s="50"/>
      <c r="IV34" s="50"/>
    </row>
    <row r="35" spans="1:256" s="2" customFormat="1" ht="32.25" customHeight="1">
      <c r="A35" s="136" t="s">
        <v>1379</v>
      </c>
      <c r="B35" s="137" t="s">
        <v>694</v>
      </c>
      <c r="C35" s="47">
        <f t="shared" si="1"/>
        <v>105216</v>
      </c>
      <c r="D35" s="252">
        <f>+'PL 04'!W115</f>
        <v>30098</v>
      </c>
      <c r="E35" s="252"/>
      <c r="F35" s="252"/>
      <c r="G35" s="252"/>
      <c r="H35" s="252"/>
      <c r="I35" s="252">
        <f>+'PL 04'!W262</f>
        <v>22000</v>
      </c>
      <c r="J35" s="47"/>
      <c r="K35" s="47"/>
      <c r="L35" s="47"/>
      <c r="M35" s="47">
        <f t="shared" ref="M35:M37" si="6">+N35+O35</f>
        <v>53118</v>
      </c>
      <c r="N35" s="252">
        <f>+'PL 04'!W765</f>
        <v>53118</v>
      </c>
      <c r="O35" s="47"/>
      <c r="P35" s="47"/>
      <c r="Q35" s="47"/>
      <c r="R35" s="47"/>
      <c r="S35" s="116">
        <f t="shared" si="3"/>
        <v>0</v>
      </c>
      <c r="T35" s="275"/>
      <c r="U35" s="116">
        <f t="shared" si="4"/>
        <v>0</v>
      </c>
      <c r="V35" s="275"/>
      <c r="W35" s="275"/>
      <c r="X35" s="275"/>
      <c r="Y35" s="275"/>
      <c r="Z35" s="275"/>
      <c r="AA35" s="275"/>
      <c r="AB35" s="275"/>
      <c r="AC35" s="50"/>
      <c r="AD35" s="50"/>
      <c r="AE35" s="50"/>
      <c r="AF35" s="50"/>
      <c r="AG35" s="50"/>
      <c r="AH35" s="50"/>
      <c r="AI35" s="50"/>
      <c r="AJ35" s="50"/>
      <c r="AK35" s="50"/>
      <c r="AL35" s="50"/>
      <c r="AM35" s="50"/>
      <c r="AN35" s="50"/>
      <c r="AO35" s="50"/>
      <c r="AP35" s="50"/>
      <c r="AQ35" s="50"/>
      <c r="AR35" s="50"/>
      <c r="AS35" s="50"/>
      <c r="AT35" s="50"/>
      <c r="AU35" s="50"/>
      <c r="AV35" s="50"/>
      <c r="AW35" s="50"/>
      <c r="AX35" s="50"/>
      <c r="AY35" s="50"/>
      <c r="AZ35" s="50"/>
      <c r="BA35" s="50"/>
      <c r="BB35" s="50"/>
      <c r="BC35" s="50"/>
      <c r="BD35" s="50"/>
      <c r="BE35" s="50"/>
      <c r="BF35" s="50"/>
      <c r="BG35" s="50"/>
      <c r="BH35" s="50"/>
      <c r="BI35" s="50"/>
      <c r="BJ35" s="50"/>
      <c r="BK35" s="50"/>
      <c r="BL35" s="50"/>
      <c r="BM35" s="50"/>
      <c r="BN35" s="50"/>
      <c r="BO35" s="50"/>
      <c r="BP35" s="50"/>
      <c r="BQ35" s="50"/>
      <c r="BR35" s="50"/>
      <c r="BS35" s="50"/>
      <c r="BT35" s="50"/>
      <c r="BU35" s="50"/>
      <c r="BV35" s="50"/>
      <c r="BW35" s="50"/>
      <c r="BX35" s="50"/>
      <c r="BY35" s="50"/>
      <c r="BZ35" s="50"/>
      <c r="CA35" s="50"/>
      <c r="CB35" s="50"/>
      <c r="CC35" s="50"/>
      <c r="CD35" s="50"/>
      <c r="CE35" s="50"/>
      <c r="CF35" s="50"/>
      <c r="CG35" s="50"/>
      <c r="CH35" s="50"/>
      <c r="CI35" s="50"/>
      <c r="CJ35" s="50"/>
      <c r="CK35" s="50"/>
      <c r="CL35" s="50"/>
      <c r="CM35" s="50"/>
      <c r="CN35" s="50"/>
      <c r="CO35" s="50"/>
      <c r="CP35" s="50"/>
      <c r="CQ35" s="50"/>
      <c r="CR35" s="50"/>
      <c r="CS35" s="50"/>
      <c r="CT35" s="50"/>
      <c r="CU35" s="50"/>
      <c r="CV35" s="50"/>
      <c r="CW35" s="50"/>
      <c r="CX35" s="50"/>
      <c r="CY35" s="50"/>
      <c r="CZ35" s="50"/>
      <c r="DA35" s="50"/>
      <c r="DB35" s="50"/>
      <c r="DC35" s="50"/>
      <c r="DD35" s="50"/>
      <c r="DE35" s="50"/>
      <c r="DF35" s="50"/>
      <c r="DG35" s="50"/>
      <c r="DH35" s="50"/>
      <c r="DI35" s="50"/>
      <c r="DJ35" s="50"/>
      <c r="DK35" s="50"/>
      <c r="DL35" s="50"/>
      <c r="DM35" s="50"/>
      <c r="DN35" s="50"/>
      <c r="DO35" s="50"/>
      <c r="DP35" s="50"/>
      <c r="DQ35" s="50"/>
      <c r="DR35" s="50"/>
      <c r="DS35" s="50"/>
      <c r="DT35" s="50"/>
      <c r="DU35" s="50"/>
      <c r="DV35" s="50"/>
      <c r="DW35" s="50"/>
      <c r="DX35" s="50"/>
      <c r="DY35" s="50"/>
      <c r="DZ35" s="50"/>
      <c r="EA35" s="50"/>
      <c r="EB35" s="50"/>
      <c r="EC35" s="50"/>
      <c r="ED35" s="50"/>
      <c r="EE35" s="50"/>
      <c r="EF35" s="50"/>
      <c r="EG35" s="50"/>
      <c r="EH35" s="50"/>
      <c r="EI35" s="50"/>
      <c r="EJ35" s="50"/>
      <c r="EK35" s="50"/>
      <c r="EL35" s="50"/>
      <c r="EM35" s="50"/>
      <c r="EN35" s="50"/>
      <c r="EO35" s="50"/>
      <c r="EP35" s="50"/>
      <c r="EQ35" s="50"/>
      <c r="ER35" s="50"/>
      <c r="ES35" s="50"/>
      <c r="ET35" s="50"/>
      <c r="EU35" s="50"/>
      <c r="EV35" s="50"/>
      <c r="EW35" s="50"/>
      <c r="EX35" s="50"/>
      <c r="EY35" s="50"/>
      <c r="EZ35" s="50"/>
      <c r="FA35" s="50"/>
      <c r="FB35" s="50"/>
      <c r="FC35" s="50"/>
      <c r="FD35" s="50"/>
      <c r="FE35" s="50"/>
      <c r="FF35" s="50"/>
      <c r="FG35" s="50"/>
      <c r="FH35" s="50"/>
      <c r="FI35" s="50"/>
      <c r="FJ35" s="50"/>
      <c r="FK35" s="50"/>
      <c r="FL35" s="50"/>
      <c r="FM35" s="50"/>
      <c r="FN35" s="50"/>
      <c r="FO35" s="50"/>
      <c r="FP35" s="50"/>
      <c r="FQ35" s="50"/>
      <c r="FR35" s="50"/>
      <c r="FS35" s="50"/>
      <c r="FT35" s="50"/>
      <c r="FU35" s="50"/>
      <c r="FV35" s="50"/>
      <c r="FW35" s="50"/>
      <c r="FX35" s="50"/>
      <c r="FY35" s="50"/>
      <c r="FZ35" s="50"/>
      <c r="GA35" s="50"/>
      <c r="GB35" s="50"/>
      <c r="GC35" s="50"/>
      <c r="GD35" s="50"/>
      <c r="GE35" s="50"/>
      <c r="GF35" s="50"/>
      <c r="GG35" s="50"/>
      <c r="GH35" s="50"/>
      <c r="GI35" s="50"/>
      <c r="GJ35" s="50"/>
      <c r="GK35" s="50"/>
      <c r="GL35" s="50"/>
      <c r="GM35" s="50"/>
      <c r="GN35" s="50"/>
      <c r="GO35" s="50"/>
      <c r="GP35" s="50"/>
      <c r="GQ35" s="50"/>
      <c r="GR35" s="50"/>
      <c r="GS35" s="50"/>
      <c r="GT35" s="50"/>
      <c r="GU35" s="50"/>
      <c r="GV35" s="50"/>
      <c r="GW35" s="50"/>
      <c r="GX35" s="50"/>
      <c r="GY35" s="50"/>
      <c r="GZ35" s="50"/>
      <c r="HA35" s="50"/>
      <c r="HB35" s="50"/>
      <c r="HC35" s="50"/>
      <c r="HD35" s="50"/>
      <c r="HE35" s="50"/>
      <c r="HF35" s="50"/>
      <c r="HG35" s="50"/>
      <c r="HH35" s="50"/>
      <c r="HI35" s="50"/>
      <c r="HJ35" s="50"/>
      <c r="HK35" s="50"/>
      <c r="HL35" s="50"/>
      <c r="HM35" s="50"/>
      <c r="HN35" s="50"/>
      <c r="HO35" s="50"/>
      <c r="HP35" s="50"/>
      <c r="HQ35" s="50"/>
      <c r="HR35" s="50"/>
      <c r="HS35" s="50"/>
      <c r="HT35" s="50"/>
      <c r="HU35" s="50"/>
      <c r="HV35" s="50"/>
      <c r="HW35" s="50"/>
      <c r="HX35" s="50"/>
      <c r="HY35" s="50"/>
      <c r="HZ35" s="50"/>
      <c r="IA35" s="50"/>
      <c r="IB35" s="50"/>
      <c r="IC35" s="50"/>
      <c r="ID35" s="50"/>
      <c r="IE35" s="50"/>
      <c r="IF35" s="50"/>
      <c r="IG35" s="50"/>
      <c r="IH35" s="50"/>
      <c r="II35" s="50"/>
      <c r="IJ35" s="50"/>
      <c r="IK35" s="50"/>
      <c r="IL35" s="50"/>
      <c r="IM35" s="50"/>
      <c r="IN35" s="50"/>
      <c r="IO35" s="50"/>
      <c r="IP35" s="50"/>
      <c r="IQ35" s="50"/>
      <c r="IR35" s="50"/>
      <c r="IS35" s="50"/>
      <c r="IT35" s="50"/>
      <c r="IU35" s="50"/>
      <c r="IV35" s="50"/>
    </row>
    <row r="36" spans="1:256" s="2" customFormat="1" ht="32.25" customHeight="1">
      <c r="A36" s="136" t="s">
        <v>1380</v>
      </c>
      <c r="B36" s="137" t="s">
        <v>718</v>
      </c>
      <c r="C36" s="47">
        <f t="shared" si="1"/>
        <v>259045</v>
      </c>
      <c r="D36" s="252"/>
      <c r="E36" s="252"/>
      <c r="F36" s="252"/>
      <c r="G36" s="252"/>
      <c r="H36" s="252"/>
      <c r="I36" s="252"/>
      <c r="J36" s="47"/>
      <c r="K36" s="47"/>
      <c r="L36" s="47">
        <f>+'PL 04'!W300</f>
        <v>500</v>
      </c>
      <c r="M36" s="47">
        <f t="shared" si="6"/>
        <v>258545</v>
      </c>
      <c r="N36" s="252">
        <f>+'PL 04'!W797</f>
        <v>202245</v>
      </c>
      <c r="O36" s="47">
        <f>+'PL 04'!W544</f>
        <v>56300</v>
      </c>
      <c r="P36" s="47"/>
      <c r="Q36" s="47"/>
      <c r="R36" s="47"/>
      <c r="S36" s="116">
        <f t="shared" si="3"/>
        <v>0</v>
      </c>
      <c r="T36" s="275"/>
      <c r="U36" s="116">
        <f t="shared" si="4"/>
        <v>0</v>
      </c>
      <c r="V36" s="275"/>
      <c r="W36" s="275"/>
      <c r="X36" s="275"/>
      <c r="Y36" s="275"/>
      <c r="Z36" s="275"/>
      <c r="AA36" s="275"/>
      <c r="AB36" s="275"/>
      <c r="AC36" s="50"/>
      <c r="AD36" s="50"/>
      <c r="AE36" s="50"/>
      <c r="AF36" s="50"/>
      <c r="AG36" s="50"/>
      <c r="AH36" s="50"/>
      <c r="AI36" s="50"/>
      <c r="AJ36" s="50"/>
      <c r="AK36" s="50"/>
      <c r="AL36" s="50"/>
      <c r="AM36" s="50"/>
      <c r="AN36" s="50"/>
      <c r="AO36" s="50"/>
      <c r="AP36" s="50"/>
      <c r="AQ36" s="50"/>
      <c r="AR36" s="50"/>
      <c r="AS36" s="50"/>
      <c r="AT36" s="50"/>
      <c r="AU36" s="50"/>
      <c r="AV36" s="50"/>
      <c r="AW36" s="50"/>
      <c r="AX36" s="50"/>
      <c r="AY36" s="50"/>
      <c r="AZ36" s="50"/>
      <c r="BA36" s="50"/>
      <c r="BB36" s="50"/>
      <c r="BC36" s="50"/>
      <c r="BD36" s="50"/>
      <c r="BE36" s="50"/>
      <c r="BF36" s="50"/>
      <c r="BG36" s="50"/>
      <c r="BH36" s="50"/>
      <c r="BI36" s="50"/>
      <c r="BJ36" s="50"/>
      <c r="BK36" s="50"/>
      <c r="BL36" s="50"/>
      <c r="BM36" s="50"/>
      <c r="BN36" s="50"/>
      <c r="BO36" s="50"/>
      <c r="BP36" s="50"/>
      <c r="BQ36" s="50"/>
      <c r="BR36" s="50"/>
      <c r="BS36" s="50"/>
      <c r="BT36" s="50"/>
      <c r="BU36" s="50"/>
      <c r="BV36" s="50"/>
      <c r="BW36" s="50"/>
      <c r="BX36" s="50"/>
      <c r="BY36" s="50"/>
      <c r="BZ36" s="50"/>
      <c r="CA36" s="50"/>
      <c r="CB36" s="50"/>
      <c r="CC36" s="50"/>
      <c r="CD36" s="50"/>
      <c r="CE36" s="50"/>
      <c r="CF36" s="50"/>
      <c r="CG36" s="50"/>
      <c r="CH36" s="50"/>
      <c r="CI36" s="50"/>
      <c r="CJ36" s="50"/>
      <c r="CK36" s="50"/>
      <c r="CL36" s="50"/>
      <c r="CM36" s="50"/>
      <c r="CN36" s="50"/>
      <c r="CO36" s="50"/>
      <c r="CP36" s="50"/>
      <c r="CQ36" s="50"/>
      <c r="CR36" s="50"/>
      <c r="CS36" s="50"/>
      <c r="CT36" s="50"/>
      <c r="CU36" s="50"/>
      <c r="CV36" s="50"/>
      <c r="CW36" s="50"/>
      <c r="CX36" s="50"/>
      <c r="CY36" s="50"/>
      <c r="CZ36" s="50"/>
      <c r="DA36" s="50"/>
      <c r="DB36" s="50"/>
      <c r="DC36" s="50"/>
      <c r="DD36" s="50"/>
      <c r="DE36" s="50"/>
      <c r="DF36" s="50"/>
      <c r="DG36" s="50"/>
      <c r="DH36" s="50"/>
      <c r="DI36" s="50"/>
      <c r="DJ36" s="50"/>
      <c r="DK36" s="50"/>
      <c r="DL36" s="50"/>
      <c r="DM36" s="50"/>
      <c r="DN36" s="50"/>
      <c r="DO36" s="50"/>
      <c r="DP36" s="50"/>
      <c r="DQ36" s="50"/>
      <c r="DR36" s="50"/>
      <c r="DS36" s="50"/>
      <c r="DT36" s="50"/>
      <c r="DU36" s="50"/>
      <c r="DV36" s="50"/>
      <c r="DW36" s="50"/>
      <c r="DX36" s="50"/>
      <c r="DY36" s="50"/>
      <c r="DZ36" s="50"/>
      <c r="EA36" s="50"/>
      <c r="EB36" s="50"/>
      <c r="EC36" s="50"/>
      <c r="ED36" s="50"/>
      <c r="EE36" s="50"/>
      <c r="EF36" s="50"/>
      <c r="EG36" s="50"/>
      <c r="EH36" s="50"/>
      <c r="EI36" s="50"/>
      <c r="EJ36" s="50"/>
      <c r="EK36" s="50"/>
      <c r="EL36" s="50"/>
      <c r="EM36" s="50"/>
      <c r="EN36" s="50"/>
      <c r="EO36" s="50"/>
      <c r="EP36" s="50"/>
      <c r="EQ36" s="50"/>
      <c r="ER36" s="50"/>
      <c r="ES36" s="50"/>
      <c r="ET36" s="50"/>
      <c r="EU36" s="50"/>
      <c r="EV36" s="50"/>
      <c r="EW36" s="50"/>
      <c r="EX36" s="50"/>
      <c r="EY36" s="50"/>
      <c r="EZ36" s="50"/>
      <c r="FA36" s="50"/>
      <c r="FB36" s="50"/>
      <c r="FC36" s="50"/>
      <c r="FD36" s="50"/>
      <c r="FE36" s="50"/>
      <c r="FF36" s="50"/>
      <c r="FG36" s="50"/>
      <c r="FH36" s="50"/>
      <c r="FI36" s="50"/>
      <c r="FJ36" s="50"/>
      <c r="FK36" s="50"/>
      <c r="FL36" s="50"/>
      <c r="FM36" s="50"/>
      <c r="FN36" s="50"/>
      <c r="FO36" s="50"/>
      <c r="FP36" s="50"/>
      <c r="FQ36" s="50"/>
      <c r="FR36" s="50"/>
      <c r="FS36" s="50"/>
      <c r="FT36" s="50"/>
      <c r="FU36" s="50"/>
      <c r="FV36" s="50"/>
      <c r="FW36" s="50"/>
      <c r="FX36" s="50"/>
      <c r="FY36" s="50"/>
      <c r="FZ36" s="50"/>
      <c r="GA36" s="50"/>
      <c r="GB36" s="50"/>
      <c r="GC36" s="50"/>
      <c r="GD36" s="50"/>
      <c r="GE36" s="50"/>
      <c r="GF36" s="50"/>
      <c r="GG36" s="50"/>
      <c r="GH36" s="50"/>
      <c r="GI36" s="50"/>
      <c r="GJ36" s="50"/>
      <c r="GK36" s="50"/>
      <c r="GL36" s="50"/>
      <c r="GM36" s="50"/>
      <c r="GN36" s="50"/>
      <c r="GO36" s="50"/>
      <c r="GP36" s="50"/>
      <c r="GQ36" s="50"/>
      <c r="GR36" s="50"/>
      <c r="GS36" s="50"/>
      <c r="GT36" s="50"/>
      <c r="GU36" s="50"/>
      <c r="GV36" s="50"/>
      <c r="GW36" s="50"/>
      <c r="GX36" s="50"/>
      <c r="GY36" s="50"/>
      <c r="GZ36" s="50"/>
      <c r="HA36" s="50"/>
      <c r="HB36" s="50"/>
      <c r="HC36" s="50"/>
      <c r="HD36" s="50"/>
      <c r="HE36" s="50"/>
      <c r="HF36" s="50"/>
      <c r="HG36" s="50"/>
      <c r="HH36" s="50"/>
      <c r="HI36" s="50"/>
      <c r="HJ36" s="50"/>
      <c r="HK36" s="50"/>
      <c r="HL36" s="50"/>
      <c r="HM36" s="50"/>
      <c r="HN36" s="50"/>
      <c r="HO36" s="50"/>
      <c r="HP36" s="50"/>
      <c r="HQ36" s="50"/>
      <c r="HR36" s="50"/>
      <c r="HS36" s="50"/>
      <c r="HT36" s="50"/>
      <c r="HU36" s="50"/>
      <c r="HV36" s="50"/>
      <c r="HW36" s="50"/>
      <c r="HX36" s="50"/>
      <c r="HY36" s="50"/>
      <c r="HZ36" s="50"/>
      <c r="IA36" s="50"/>
      <c r="IB36" s="50"/>
      <c r="IC36" s="50"/>
      <c r="ID36" s="50"/>
      <c r="IE36" s="50"/>
      <c r="IF36" s="50"/>
      <c r="IG36" s="50"/>
      <c r="IH36" s="50"/>
      <c r="II36" s="50"/>
      <c r="IJ36" s="50"/>
      <c r="IK36" s="50"/>
      <c r="IL36" s="50"/>
      <c r="IM36" s="50"/>
      <c r="IN36" s="50"/>
      <c r="IO36" s="50"/>
      <c r="IP36" s="50"/>
      <c r="IQ36" s="50"/>
      <c r="IR36" s="50"/>
      <c r="IS36" s="50"/>
      <c r="IT36" s="50"/>
      <c r="IU36" s="50"/>
      <c r="IV36" s="50"/>
    </row>
    <row r="37" spans="1:256" s="2" customFormat="1" ht="32.25" customHeight="1">
      <c r="A37" s="136" t="s">
        <v>1381</v>
      </c>
      <c r="B37" s="137" t="s">
        <v>80</v>
      </c>
      <c r="C37" s="47">
        <f t="shared" si="1"/>
        <v>224433</v>
      </c>
      <c r="D37" s="252">
        <f>+'PL 04'!W138</f>
        <v>11586</v>
      </c>
      <c r="E37" s="252"/>
      <c r="F37" s="252"/>
      <c r="G37" s="252"/>
      <c r="H37" s="252"/>
      <c r="I37" s="252"/>
      <c r="J37" s="47"/>
      <c r="K37" s="47"/>
      <c r="L37" s="47"/>
      <c r="M37" s="47">
        <f t="shared" si="6"/>
        <v>212847</v>
      </c>
      <c r="N37" s="252">
        <f>+'PL 04'!W614+'PL 03'!W64</f>
        <v>201918</v>
      </c>
      <c r="O37" s="47">
        <f>+'PL 04'!W340+'PL 03'!W34</f>
        <v>10929</v>
      </c>
      <c r="P37" s="47"/>
      <c r="Q37" s="47"/>
      <c r="R37" s="47"/>
      <c r="S37" s="116">
        <f t="shared" si="3"/>
        <v>0</v>
      </c>
      <c r="T37" s="275"/>
      <c r="U37" s="116">
        <f t="shared" si="4"/>
        <v>0</v>
      </c>
      <c r="V37" s="275"/>
      <c r="W37" s="275"/>
      <c r="X37" s="275"/>
      <c r="Y37" s="275"/>
      <c r="Z37" s="275"/>
      <c r="AA37" s="275"/>
      <c r="AB37" s="275"/>
      <c r="AC37" s="50"/>
      <c r="AD37" s="50"/>
      <c r="AE37" s="50"/>
      <c r="AF37" s="50"/>
      <c r="AG37" s="50"/>
      <c r="AH37" s="50"/>
      <c r="AI37" s="50"/>
      <c r="AJ37" s="50"/>
      <c r="AK37" s="50"/>
      <c r="AL37" s="50"/>
      <c r="AM37" s="50"/>
      <c r="AN37" s="50"/>
      <c r="AO37" s="50"/>
      <c r="AP37" s="50"/>
      <c r="AQ37" s="50"/>
      <c r="AR37" s="50"/>
      <c r="AS37" s="50"/>
      <c r="AT37" s="50"/>
      <c r="AU37" s="50"/>
      <c r="AV37" s="50"/>
      <c r="AW37" s="50"/>
      <c r="AX37" s="50"/>
      <c r="AY37" s="50"/>
      <c r="AZ37" s="50"/>
      <c r="BA37" s="50"/>
      <c r="BB37" s="50"/>
      <c r="BC37" s="50"/>
      <c r="BD37" s="50"/>
      <c r="BE37" s="50"/>
      <c r="BF37" s="50"/>
      <c r="BG37" s="50"/>
      <c r="BH37" s="50"/>
      <c r="BI37" s="50"/>
      <c r="BJ37" s="50"/>
      <c r="BK37" s="50"/>
      <c r="BL37" s="50"/>
      <c r="BM37" s="50"/>
      <c r="BN37" s="50"/>
      <c r="BO37" s="50"/>
      <c r="BP37" s="50"/>
      <c r="BQ37" s="50"/>
      <c r="BR37" s="50"/>
      <c r="BS37" s="50"/>
      <c r="BT37" s="50"/>
      <c r="BU37" s="50"/>
      <c r="BV37" s="50"/>
      <c r="BW37" s="50"/>
      <c r="BX37" s="50"/>
      <c r="BY37" s="50"/>
      <c r="BZ37" s="50"/>
      <c r="CA37" s="50"/>
      <c r="CB37" s="50"/>
      <c r="CC37" s="50"/>
      <c r="CD37" s="50"/>
      <c r="CE37" s="50"/>
      <c r="CF37" s="50"/>
      <c r="CG37" s="50"/>
      <c r="CH37" s="50"/>
      <c r="CI37" s="50"/>
      <c r="CJ37" s="50"/>
      <c r="CK37" s="50"/>
      <c r="CL37" s="50"/>
      <c r="CM37" s="50"/>
      <c r="CN37" s="50"/>
      <c r="CO37" s="50"/>
      <c r="CP37" s="50"/>
      <c r="CQ37" s="50"/>
      <c r="CR37" s="50"/>
      <c r="CS37" s="50"/>
      <c r="CT37" s="50"/>
      <c r="CU37" s="50"/>
      <c r="CV37" s="50"/>
      <c r="CW37" s="50"/>
      <c r="CX37" s="50"/>
      <c r="CY37" s="50"/>
      <c r="CZ37" s="50"/>
      <c r="DA37" s="50"/>
      <c r="DB37" s="50"/>
      <c r="DC37" s="50"/>
      <c r="DD37" s="50"/>
      <c r="DE37" s="50"/>
      <c r="DF37" s="50"/>
      <c r="DG37" s="50"/>
      <c r="DH37" s="50"/>
      <c r="DI37" s="50"/>
      <c r="DJ37" s="50"/>
      <c r="DK37" s="50"/>
      <c r="DL37" s="50"/>
      <c r="DM37" s="50"/>
      <c r="DN37" s="50"/>
      <c r="DO37" s="50"/>
      <c r="DP37" s="50"/>
      <c r="DQ37" s="50"/>
      <c r="DR37" s="50"/>
      <c r="DS37" s="50"/>
      <c r="DT37" s="50"/>
      <c r="DU37" s="50"/>
      <c r="DV37" s="50"/>
      <c r="DW37" s="50"/>
      <c r="DX37" s="50"/>
      <c r="DY37" s="50"/>
      <c r="DZ37" s="50"/>
      <c r="EA37" s="50"/>
      <c r="EB37" s="50"/>
      <c r="EC37" s="50"/>
      <c r="ED37" s="50"/>
      <c r="EE37" s="50"/>
      <c r="EF37" s="50"/>
      <c r="EG37" s="50"/>
      <c r="EH37" s="50"/>
      <c r="EI37" s="50"/>
      <c r="EJ37" s="50"/>
      <c r="EK37" s="50"/>
      <c r="EL37" s="50"/>
      <c r="EM37" s="50"/>
      <c r="EN37" s="50"/>
      <c r="EO37" s="50"/>
      <c r="EP37" s="50"/>
      <c r="EQ37" s="50"/>
      <c r="ER37" s="50"/>
      <c r="ES37" s="50"/>
      <c r="ET37" s="50"/>
      <c r="EU37" s="50"/>
      <c r="EV37" s="50"/>
      <c r="EW37" s="50"/>
      <c r="EX37" s="50"/>
      <c r="EY37" s="50"/>
      <c r="EZ37" s="50"/>
      <c r="FA37" s="50"/>
      <c r="FB37" s="50"/>
      <c r="FC37" s="50"/>
      <c r="FD37" s="50"/>
      <c r="FE37" s="50"/>
      <c r="FF37" s="50"/>
      <c r="FG37" s="50"/>
      <c r="FH37" s="50"/>
      <c r="FI37" s="50"/>
      <c r="FJ37" s="50"/>
      <c r="FK37" s="50"/>
      <c r="FL37" s="50"/>
      <c r="FM37" s="50"/>
      <c r="FN37" s="50"/>
      <c r="FO37" s="50"/>
      <c r="FP37" s="50"/>
      <c r="FQ37" s="50"/>
      <c r="FR37" s="50"/>
      <c r="FS37" s="50"/>
      <c r="FT37" s="50"/>
      <c r="FU37" s="50"/>
      <c r="FV37" s="50"/>
      <c r="FW37" s="50"/>
      <c r="FX37" s="50"/>
      <c r="FY37" s="50"/>
      <c r="FZ37" s="50"/>
      <c r="GA37" s="50"/>
      <c r="GB37" s="50"/>
      <c r="GC37" s="50"/>
      <c r="GD37" s="50"/>
      <c r="GE37" s="50"/>
      <c r="GF37" s="50"/>
      <c r="GG37" s="50"/>
      <c r="GH37" s="50"/>
      <c r="GI37" s="50"/>
      <c r="GJ37" s="50"/>
      <c r="GK37" s="50"/>
      <c r="GL37" s="50"/>
      <c r="GM37" s="50"/>
      <c r="GN37" s="50"/>
      <c r="GO37" s="50"/>
      <c r="GP37" s="50"/>
      <c r="GQ37" s="50"/>
      <c r="GR37" s="50"/>
      <c r="GS37" s="50"/>
      <c r="GT37" s="50"/>
      <c r="GU37" s="50"/>
      <c r="GV37" s="50"/>
      <c r="GW37" s="50"/>
      <c r="GX37" s="50"/>
      <c r="GY37" s="50"/>
      <c r="GZ37" s="50"/>
      <c r="HA37" s="50"/>
      <c r="HB37" s="50"/>
      <c r="HC37" s="50"/>
      <c r="HD37" s="50"/>
      <c r="HE37" s="50"/>
      <c r="HF37" s="50"/>
      <c r="HG37" s="50"/>
      <c r="HH37" s="50"/>
      <c r="HI37" s="50"/>
      <c r="HJ37" s="50"/>
      <c r="HK37" s="50"/>
      <c r="HL37" s="50"/>
      <c r="HM37" s="50"/>
      <c r="HN37" s="50"/>
      <c r="HO37" s="50"/>
      <c r="HP37" s="50"/>
      <c r="HQ37" s="50"/>
      <c r="HR37" s="50"/>
      <c r="HS37" s="50"/>
      <c r="HT37" s="50"/>
      <c r="HU37" s="50"/>
      <c r="HV37" s="50"/>
      <c r="HW37" s="50"/>
      <c r="HX37" s="50"/>
      <c r="HY37" s="50"/>
      <c r="HZ37" s="50"/>
      <c r="IA37" s="50"/>
      <c r="IB37" s="50"/>
      <c r="IC37" s="50"/>
      <c r="ID37" s="50"/>
      <c r="IE37" s="50"/>
      <c r="IF37" s="50"/>
      <c r="IG37" s="50"/>
      <c r="IH37" s="50"/>
      <c r="II37" s="50"/>
      <c r="IJ37" s="50"/>
      <c r="IK37" s="50"/>
      <c r="IL37" s="50"/>
      <c r="IM37" s="50"/>
      <c r="IN37" s="50"/>
      <c r="IO37" s="50"/>
      <c r="IP37" s="50"/>
      <c r="IQ37" s="50"/>
      <c r="IR37" s="50"/>
      <c r="IS37" s="50"/>
      <c r="IT37" s="50"/>
      <c r="IU37" s="50"/>
      <c r="IV37" s="50"/>
    </row>
    <row r="38" spans="1:256" s="2" customFormat="1" ht="32.25" customHeight="1">
      <c r="A38" s="136" t="s">
        <v>1382</v>
      </c>
      <c r="B38" s="137" t="s">
        <v>709</v>
      </c>
      <c r="C38" s="47">
        <f t="shared" si="1"/>
        <v>40886</v>
      </c>
      <c r="D38" s="252"/>
      <c r="E38" s="252"/>
      <c r="F38" s="252"/>
      <c r="G38" s="252"/>
      <c r="H38" s="252"/>
      <c r="I38" s="252"/>
      <c r="J38" s="47"/>
      <c r="K38" s="47">
        <f>+'PL 04'!W281</f>
        <v>15000</v>
      </c>
      <c r="L38" s="47"/>
      <c r="M38" s="47">
        <f>+'PL 04'!W930+N38+O38</f>
        <v>25886</v>
      </c>
      <c r="N38" s="252"/>
      <c r="O38" s="47">
        <f>+'PL 04'!W537</f>
        <v>8105</v>
      </c>
      <c r="P38" s="47"/>
      <c r="Q38" s="47"/>
      <c r="R38" s="47"/>
      <c r="S38" s="116">
        <f t="shared" si="3"/>
        <v>17781</v>
      </c>
      <c r="T38" s="275"/>
      <c r="U38" s="116">
        <f t="shared" si="4"/>
        <v>17781</v>
      </c>
      <c r="V38" s="275"/>
      <c r="W38" s="275"/>
      <c r="X38" s="275"/>
      <c r="Y38" s="275"/>
      <c r="Z38" s="275"/>
      <c r="AA38" s="275"/>
      <c r="AB38" s="275"/>
      <c r="AC38" s="50"/>
      <c r="AD38" s="50"/>
      <c r="AE38" s="50"/>
      <c r="AF38" s="50"/>
      <c r="AG38" s="50"/>
      <c r="AH38" s="50"/>
      <c r="AI38" s="50"/>
      <c r="AJ38" s="50"/>
      <c r="AK38" s="50"/>
      <c r="AL38" s="50"/>
      <c r="AM38" s="50"/>
      <c r="AN38" s="50"/>
      <c r="AO38" s="50"/>
      <c r="AP38" s="50"/>
      <c r="AQ38" s="50"/>
      <c r="AR38" s="50"/>
      <c r="AS38" s="50"/>
      <c r="AT38" s="50"/>
      <c r="AU38" s="50"/>
      <c r="AV38" s="50"/>
      <c r="AW38" s="50"/>
      <c r="AX38" s="50"/>
      <c r="AY38" s="50"/>
      <c r="AZ38" s="50"/>
      <c r="BA38" s="50"/>
      <c r="BB38" s="50"/>
      <c r="BC38" s="50"/>
      <c r="BD38" s="50"/>
      <c r="BE38" s="50"/>
      <c r="BF38" s="50"/>
      <c r="BG38" s="50"/>
      <c r="BH38" s="50"/>
      <c r="BI38" s="50"/>
      <c r="BJ38" s="50"/>
      <c r="BK38" s="50"/>
      <c r="BL38" s="50"/>
      <c r="BM38" s="50"/>
      <c r="BN38" s="50"/>
      <c r="BO38" s="50"/>
      <c r="BP38" s="50"/>
      <c r="BQ38" s="50"/>
      <c r="BR38" s="50"/>
      <c r="BS38" s="50"/>
      <c r="BT38" s="50"/>
      <c r="BU38" s="50"/>
      <c r="BV38" s="50"/>
      <c r="BW38" s="50"/>
      <c r="BX38" s="50"/>
      <c r="BY38" s="50"/>
      <c r="BZ38" s="50"/>
      <c r="CA38" s="50"/>
      <c r="CB38" s="50"/>
      <c r="CC38" s="50"/>
      <c r="CD38" s="50"/>
      <c r="CE38" s="50"/>
      <c r="CF38" s="50"/>
      <c r="CG38" s="50"/>
      <c r="CH38" s="50"/>
      <c r="CI38" s="50"/>
      <c r="CJ38" s="50"/>
      <c r="CK38" s="50"/>
      <c r="CL38" s="50"/>
      <c r="CM38" s="50"/>
      <c r="CN38" s="50"/>
      <c r="CO38" s="50"/>
      <c r="CP38" s="50"/>
      <c r="CQ38" s="50"/>
      <c r="CR38" s="50"/>
      <c r="CS38" s="50"/>
      <c r="CT38" s="50"/>
      <c r="CU38" s="50"/>
      <c r="CV38" s="50"/>
      <c r="CW38" s="50"/>
      <c r="CX38" s="50"/>
      <c r="CY38" s="50"/>
      <c r="CZ38" s="50"/>
      <c r="DA38" s="50"/>
      <c r="DB38" s="50"/>
      <c r="DC38" s="50"/>
      <c r="DD38" s="50"/>
      <c r="DE38" s="50"/>
      <c r="DF38" s="50"/>
      <c r="DG38" s="50"/>
      <c r="DH38" s="50"/>
      <c r="DI38" s="50"/>
      <c r="DJ38" s="50"/>
      <c r="DK38" s="50"/>
      <c r="DL38" s="50"/>
      <c r="DM38" s="50"/>
      <c r="DN38" s="50"/>
      <c r="DO38" s="50"/>
      <c r="DP38" s="50"/>
      <c r="DQ38" s="50"/>
      <c r="DR38" s="50"/>
      <c r="DS38" s="50"/>
      <c r="DT38" s="50"/>
      <c r="DU38" s="50"/>
      <c r="DV38" s="50"/>
      <c r="DW38" s="50"/>
      <c r="DX38" s="50"/>
      <c r="DY38" s="50"/>
      <c r="DZ38" s="50"/>
      <c r="EA38" s="50"/>
      <c r="EB38" s="50"/>
      <c r="EC38" s="50"/>
      <c r="ED38" s="50"/>
      <c r="EE38" s="50"/>
      <c r="EF38" s="50"/>
      <c r="EG38" s="50"/>
      <c r="EH38" s="50"/>
      <c r="EI38" s="50"/>
      <c r="EJ38" s="50"/>
      <c r="EK38" s="50"/>
      <c r="EL38" s="50"/>
      <c r="EM38" s="50"/>
      <c r="EN38" s="50"/>
      <c r="EO38" s="50"/>
      <c r="EP38" s="50"/>
      <c r="EQ38" s="50"/>
      <c r="ER38" s="50"/>
      <c r="ES38" s="50"/>
      <c r="ET38" s="50"/>
      <c r="EU38" s="50"/>
      <c r="EV38" s="50"/>
      <c r="EW38" s="50"/>
      <c r="EX38" s="50"/>
      <c r="EY38" s="50"/>
      <c r="EZ38" s="50"/>
      <c r="FA38" s="50"/>
      <c r="FB38" s="50"/>
      <c r="FC38" s="50"/>
      <c r="FD38" s="50"/>
      <c r="FE38" s="50"/>
      <c r="FF38" s="50"/>
      <c r="FG38" s="50"/>
      <c r="FH38" s="50"/>
      <c r="FI38" s="50"/>
      <c r="FJ38" s="50"/>
      <c r="FK38" s="50"/>
      <c r="FL38" s="50"/>
      <c r="FM38" s="50"/>
      <c r="FN38" s="50"/>
      <c r="FO38" s="50"/>
      <c r="FP38" s="50"/>
      <c r="FQ38" s="50"/>
      <c r="FR38" s="50"/>
      <c r="FS38" s="50"/>
      <c r="FT38" s="50"/>
      <c r="FU38" s="50"/>
      <c r="FV38" s="50"/>
      <c r="FW38" s="50"/>
      <c r="FX38" s="50"/>
      <c r="FY38" s="50"/>
      <c r="FZ38" s="50"/>
      <c r="GA38" s="50"/>
      <c r="GB38" s="50"/>
      <c r="GC38" s="50"/>
      <c r="GD38" s="50"/>
      <c r="GE38" s="50"/>
      <c r="GF38" s="50"/>
      <c r="GG38" s="50"/>
      <c r="GH38" s="50"/>
      <c r="GI38" s="50"/>
      <c r="GJ38" s="50"/>
      <c r="GK38" s="50"/>
      <c r="GL38" s="50"/>
      <c r="GM38" s="50"/>
      <c r="GN38" s="50"/>
      <c r="GO38" s="50"/>
      <c r="GP38" s="50"/>
      <c r="GQ38" s="50"/>
      <c r="GR38" s="50"/>
      <c r="GS38" s="50"/>
      <c r="GT38" s="50"/>
      <c r="GU38" s="50"/>
      <c r="GV38" s="50"/>
      <c r="GW38" s="50"/>
      <c r="GX38" s="50"/>
      <c r="GY38" s="50"/>
      <c r="GZ38" s="50"/>
      <c r="HA38" s="50"/>
      <c r="HB38" s="50"/>
      <c r="HC38" s="50"/>
      <c r="HD38" s="50"/>
      <c r="HE38" s="50"/>
      <c r="HF38" s="50"/>
      <c r="HG38" s="50"/>
      <c r="HH38" s="50"/>
      <c r="HI38" s="50"/>
      <c r="HJ38" s="50"/>
      <c r="HK38" s="50"/>
      <c r="HL38" s="50"/>
      <c r="HM38" s="50"/>
      <c r="HN38" s="50"/>
      <c r="HO38" s="50"/>
      <c r="HP38" s="50"/>
      <c r="HQ38" s="50"/>
      <c r="HR38" s="50"/>
      <c r="HS38" s="50"/>
      <c r="HT38" s="50"/>
      <c r="HU38" s="50"/>
      <c r="HV38" s="50"/>
      <c r="HW38" s="50"/>
      <c r="HX38" s="50"/>
      <c r="HY38" s="50"/>
      <c r="HZ38" s="50"/>
      <c r="IA38" s="50"/>
      <c r="IB38" s="50"/>
      <c r="IC38" s="50"/>
      <c r="ID38" s="50"/>
      <c r="IE38" s="50"/>
      <c r="IF38" s="50"/>
      <c r="IG38" s="50"/>
      <c r="IH38" s="50"/>
      <c r="II38" s="50"/>
      <c r="IJ38" s="50"/>
      <c r="IK38" s="50"/>
      <c r="IL38" s="50"/>
      <c r="IM38" s="50"/>
      <c r="IN38" s="50"/>
      <c r="IO38" s="50"/>
      <c r="IP38" s="50"/>
      <c r="IQ38" s="50"/>
      <c r="IR38" s="50"/>
      <c r="IS38" s="50"/>
      <c r="IT38" s="50"/>
      <c r="IU38" s="50"/>
      <c r="IV38" s="50"/>
    </row>
    <row r="39" spans="1:256" s="2" customFormat="1" ht="32.25" customHeight="1">
      <c r="A39" s="136" t="s">
        <v>1383</v>
      </c>
      <c r="B39" s="137" t="s">
        <v>738</v>
      </c>
      <c r="C39" s="47">
        <f t="shared" si="1"/>
        <v>84555</v>
      </c>
      <c r="D39" s="252"/>
      <c r="E39" s="252"/>
      <c r="F39" s="252"/>
      <c r="G39" s="252">
        <f>+'PL 04'!W180</f>
        <v>440</v>
      </c>
      <c r="H39" s="252"/>
      <c r="I39" s="252"/>
      <c r="J39" s="47"/>
      <c r="K39" s="47"/>
      <c r="L39" s="47"/>
      <c r="M39" s="47">
        <f>+'PL 04'!W893+N39+O39</f>
        <v>84115</v>
      </c>
      <c r="N39" s="252">
        <f>+'PL 04'!W829</f>
        <v>72192</v>
      </c>
      <c r="O39" s="47">
        <f>+'PL 04'!W560</f>
        <v>2300</v>
      </c>
      <c r="P39" s="47"/>
      <c r="Q39" s="47"/>
      <c r="R39" s="47"/>
      <c r="S39" s="116">
        <f t="shared" si="3"/>
        <v>9623</v>
      </c>
      <c r="T39" s="275"/>
      <c r="U39" s="116">
        <f t="shared" si="4"/>
        <v>9623</v>
      </c>
      <c r="V39" s="275"/>
      <c r="W39" s="275"/>
      <c r="X39" s="275"/>
      <c r="Y39" s="275"/>
      <c r="Z39" s="275"/>
      <c r="AA39" s="275"/>
      <c r="AB39" s="275"/>
      <c r="AC39" s="50"/>
      <c r="AD39" s="50"/>
      <c r="AE39" s="50"/>
      <c r="AF39" s="50"/>
      <c r="AG39" s="50"/>
      <c r="AH39" s="50"/>
      <c r="AI39" s="50"/>
      <c r="AJ39" s="50"/>
      <c r="AK39" s="50"/>
      <c r="AL39" s="50"/>
      <c r="AM39" s="50"/>
      <c r="AN39" s="50"/>
      <c r="AO39" s="50"/>
      <c r="AP39" s="50"/>
      <c r="AQ39" s="50"/>
      <c r="AR39" s="50"/>
      <c r="AS39" s="50"/>
      <c r="AT39" s="50"/>
      <c r="AU39" s="50"/>
      <c r="AV39" s="50"/>
      <c r="AW39" s="50"/>
      <c r="AX39" s="50"/>
      <c r="AY39" s="50"/>
      <c r="AZ39" s="50"/>
      <c r="BA39" s="50"/>
      <c r="BB39" s="50"/>
      <c r="BC39" s="50"/>
      <c r="BD39" s="50"/>
      <c r="BE39" s="50"/>
      <c r="BF39" s="50"/>
      <c r="BG39" s="50"/>
      <c r="BH39" s="50"/>
      <c r="BI39" s="50"/>
      <c r="BJ39" s="50"/>
      <c r="BK39" s="50"/>
      <c r="BL39" s="50"/>
      <c r="BM39" s="50"/>
      <c r="BN39" s="50"/>
      <c r="BO39" s="50"/>
      <c r="BP39" s="50"/>
      <c r="BQ39" s="50"/>
      <c r="BR39" s="50"/>
      <c r="BS39" s="50"/>
      <c r="BT39" s="50"/>
      <c r="BU39" s="50"/>
      <c r="BV39" s="50"/>
      <c r="BW39" s="50"/>
      <c r="BX39" s="50"/>
      <c r="BY39" s="50"/>
      <c r="BZ39" s="50"/>
      <c r="CA39" s="50"/>
      <c r="CB39" s="50"/>
      <c r="CC39" s="50"/>
      <c r="CD39" s="50"/>
      <c r="CE39" s="50"/>
      <c r="CF39" s="50"/>
      <c r="CG39" s="50"/>
      <c r="CH39" s="50"/>
      <c r="CI39" s="50"/>
      <c r="CJ39" s="50"/>
      <c r="CK39" s="50"/>
      <c r="CL39" s="50"/>
      <c r="CM39" s="50"/>
      <c r="CN39" s="50"/>
      <c r="CO39" s="50"/>
      <c r="CP39" s="50"/>
      <c r="CQ39" s="50"/>
      <c r="CR39" s="50"/>
      <c r="CS39" s="50"/>
      <c r="CT39" s="50"/>
      <c r="CU39" s="50"/>
      <c r="CV39" s="50"/>
      <c r="CW39" s="50"/>
      <c r="CX39" s="50"/>
      <c r="CY39" s="50"/>
      <c r="CZ39" s="50"/>
      <c r="DA39" s="50"/>
      <c r="DB39" s="50"/>
      <c r="DC39" s="50"/>
      <c r="DD39" s="50"/>
      <c r="DE39" s="50"/>
      <c r="DF39" s="50"/>
      <c r="DG39" s="50"/>
      <c r="DH39" s="50"/>
      <c r="DI39" s="50"/>
      <c r="DJ39" s="50"/>
      <c r="DK39" s="50"/>
      <c r="DL39" s="50"/>
      <c r="DM39" s="50"/>
      <c r="DN39" s="50"/>
      <c r="DO39" s="50"/>
      <c r="DP39" s="50"/>
      <c r="DQ39" s="50"/>
      <c r="DR39" s="50"/>
      <c r="DS39" s="50"/>
      <c r="DT39" s="50"/>
      <c r="DU39" s="50"/>
      <c r="DV39" s="50"/>
      <c r="DW39" s="50"/>
      <c r="DX39" s="50"/>
      <c r="DY39" s="50"/>
      <c r="DZ39" s="50"/>
      <c r="EA39" s="50"/>
      <c r="EB39" s="50"/>
      <c r="EC39" s="50"/>
      <c r="ED39" s="50"/>
      <c r="EE39" s="50"/>
      <c r="EF39" s="50"/>
      <c r="EG39" s="50"/>
      <c r="EH39" s="50"/>
      <c r="EI39" s="50"/>
      <c r="EJ39" s="50"/>
      <c r="EK39" s="50"/>
      <c r="EL39" s="50"/>
      <c r="EM39" s="50"/>
      <c r="EN39" s="50"/>
      <c r="EO39" s="50"/>
      <c r="EP39" s="50"/>
      <c r="EQ39" s="50"/>
      <c r="ER39" s="50"/>
      <c r="ES39" s="50"/>
      <c r="ET39" s="50"/>
      <c r="EU39" s="50"/>
      <c r="EV39" s="50"/>
      <c r="EW39" s="50"/>
      <c r="EX39" s="50"/>
      <c r="EY39" s="50"/>
      <c r="EZ39" s="50"/>
      <c r="FA39" s="50"/>
      <c r="FB39" s="50"/>
      <c r="FC39" s="50"/>
      <c r="FD39" s="50"/>
      <c r="FE39" s="50"/>
      <c r="FF39" s="50"/>
      <c r="FG39" s="50"/>
      <c r="FH39" s="50"/>
      <c r="FI39" s="50"/>
      <c r="FJ39" s="50"/>
      <c r="FK39" s="50"/>
      <c r="FL39" s="50"/>
      <c r="FM39" s="50"/>
      <c r="FN39" s="50"/>
      <c r="FO39" s="50"/>
      <c r="FP39" s="50"/>
      <c r="FQ39" s="50"/>
      <c r="FR39" s="50"/>
      <c r="FS39" s="50"/>
      <c r="FT39" s="50"/>
      <c r="FU39" s="50"/>
      <c r="FV39" s="50"/>
      <c r="FW39" s="50"/>
      <c r="FX39" s="50"/>
      <c r="FY39" s="50"/>
      <c r="FZ39" s="50"/>
      <c r="GA39" s="50"/>
      <c r="GB39" s="50"/>
      <c r="GC39" s="50"/>
      <c r="GD39" s="50"/>
      <c r="GE39" s="50"/>
      <c r="GF39" s="50"/>
      <c r="GG39" s="50"/>
      <c r="GH39" s="50"/>
      <c r="GI39" s="50"/>
      <c r="GJ39" s="50"/>
      <c r="GK39" s="50"/>
      <c r="GL39" s="50"/>
      <c r="GM39" s="50"/>
      <c r="GN39" s="50"/>
      <c r="GO39" s="50"/>
      <c r="GP39" s="50"/>
      <c r="GQ39" s="50"/>
      <c r="GR39" s="50"/>
      <c r="GS39" s="50"/>
      <c r="GT39" s="50"/>
      <c r="GU39" s="50"/>
      <c r="GV39" s="50"/>
      <c r="GW39" s="50"/>
      <c r="GX39" s="50"/>
      <c r="GY39" s="50"/>
      <c r="GZ39" s="50"/>
      <c r="HA39" s="50"/>
      <c r="HB39" s="50"/>
      <c r="HC39" s="50"/>
      <c r="HD39" s="50"/>
      <c r="HE39" s="50"/>
      <c r="HF39" s="50"/>
      <c r="HG39" s="50"/>
      <c r="HH39" s="50"/>
      <c r="HI39" s="50"/>
      <c r="HJ39" s="50"/>
      <c r="HK39" s="50"/>
      <c r="HL39" s="50"/>
      <c r="HM39" s="50"/>
      <c r="HN39" s="50"/>
      <c r="HO39" s="50"/>
      <c r="HP39" s="50"/>
      <c r="HQ39" s="50"/>
      <c r="HR39" s="50"/>
      <c r="HS39" s="50"/>
      <c r="HT39" s="50"/>
      <c r="HU39" s="50"/>
      <c r="HV39" s="50"/>
      <c r="HW39" s="50"/>
      <c r="HX39" s="50"/>
      <c r="HY39" s="50"/>
      <c r="HZ39" s="50"/>
      <c r="IA39" s="50"/>
      <c r="IB39" s="50"/>
      <c r="IC39" s="50"/>
      <c r="ID39" s="50"/>
      <c r="IE39" s="50"/>
      <c r="IF39" s="50"/>
      <c r="IG39" s="50"/>
      <c r="IH39" s="50"/>
      <c r="II39" s="50"/>
      <c r="IJ39" s="50"/>
      <c r="IK39" s="50"/>
      <c r="IL39" s="50"/>
      <c r="IM39" s="50"/>
      <c r="IN39" s="50"/>
      <c r="IO39" s="50"/>
      <c r="IP39" s="50"/>
      <c r="IQ39" s="50"/>
      <c r="IR39" s="50"/>
      <c r="IS39" s="50"/>
      <c r="IT39" s="50"/>
      <c r="IU39" s="50"/>
      <c r="IV39" s="50"/>
    </row>
    <row r="40" spans="1:256" s="2" customFormat="1" ht="32.25" customHeight="1">
      <c r="A40" s="136" t="s">
        <v>1644</v>
      </c>
      <c r="B40" s="137" t="s">
        <v>1024</v>
      </c>
      <c r="C40" s="47">
        <f>SUM(D40:M40)+SUM(P40:R40)</f>
        <v>64937</v>
      </c>
      <c r="D40" s="252"/>
      <c r="E40" s="252"/>
      <c r="F40" s="252"/>
      <c r="G40" s="252"/>
      <c r="H40" s="252"/>
      <c r="I40" s="252">
        <f>+'PL 04'!W272</f>
        <v>2285</v>
      </c>
      <c r="J40" s="47"/>
      <c r="K40" s="47"/>
      <c r="L40" s="47"/>
      <c r="M40" s="47">
        <f>+'PL 04'!W925+N40+O40</f>
        <v>62652</v>
      </c>
      <c r="N40" s="252">
        <f>+'PL 04'!W843</f>
        <v>46885</v>
      </c>
      <c r="O40" s="47"/>
      <c r="P40" s="47"/>
      <c r="Q40" s="47"/>
      <c r="R40" s="47"/>
      <c r="S40" s="116">
        <f t="shared" si="3"/>
        <v>15767</v>
      </c>
      <c r="T40" s="275"/>
      <c r="U40" s="116">
        <f t="shared" si="4"/>
        <v>15767</v>
      </c>
      <c r="V40" s="275"/>
      <c r="W40" s="275"/>
      <c r="X40" s="275"/>
      <c r="Y40" s="275"/>
      <c r="Z40" s="275"/>
      <c r="AA40" s="275"/>
      <c r="AB40" s="275"/>
      <c r="AC40" s="50"/>
      <c r="AD40" s="50"/>
      <c r="AE40" s="50"/>
      <c r="AF40" s="50"/>
      <c r="AG40" s="50"/>
      <c r="AH40" s="50"/>
      <c r="AI40" s="50"/>
      <c r="AJ40" s="50"/>
      <c r="AK40" s="50"/>
      <c r="AL40" s="50"/>
      <c r="AM40" s="50"/>
      <c r="AN40" s="50"/>
      <c r="AO40" s="50"/>
      <c r="AP40" s="50"/>
      <c r="AQ40" s="50"/>
      <c r="AR40" s="50"/>
      <c r="AS40" s="50"/>
      <c r="AT40" s="50"/>
      <c r="AU40" s="50"/>
      <c r="AV40" s="50"/>
      <c r="AW40" s="50"/>
      <c r="AX40" s="50"/>
      <c r="AY40" s="50"/>
      <c r="AZ40" s="50"/>
      <c r="BA40" s="50"/>
      <c r="BB40" s="50"/>
      <c r="BC40" s="50"/>
      <c r="BD40" s="50"/>
      <c r="BE40" s="50"/>
      <c r="BF40" s="50"/>
      <c r="BG40" s="50"/>
      <c r="BH40" s="50"/>
      <c r="BI40" s="50"/>
      <c r="BJ40" s="50"/>
      <c r="BK40" s="50"/>
      <c r="BL40" s="50"/>
      <c r="BM40" s="50"/>
      <c r="BN40" s="50"/>
      <c r="BO40" s="50"/>
      <c r="BP40" s="50"/>
      <c r="BQ40" s="50"/>
      <c r="BR40" s="50"/>
      <c r="BS40" s="50"/>
      <c r="BT40" s="50"/>
      <c r="BU40" s="50"/>
      <c r="BV40" s="50"/>
      <c r="BW40" s="50"/>
      <c r="BX40" s="50"/>
      <c r="BY40" s="50"/>
      <c r="BZ40" s="50"/>
      <c r="CA40" s="50"/>
      <c r="CB40" s="50"/>
      <c r="CC40" s="50"/>
      <c r="CD40" s="50"/>
      <c r="CE40" s="50"/>
      <c r="CF40" s="50"/>
      <c r="CG40" s="50"/>
      <c r="CH40" s="50"/>
      <c r="CI40" s="50"/>
      <c r="CJ40" s="50"/>
      <c r="CK40" s="50"/>
      <c r="CL40" s="50"/>
      <c r="CM40" s="50"/>
      <c r="CN40" s="50"/>
      <c r="CO40" s="50"/>
      <c r="CP40" s="50"/>
      <c r="CQ40" s="50"/>
      <c r="CR40" s="50"/>
      <c r="CS40" s="50"/>
      <c r="CT40" s="50"/>
      <c r="CU40" s="50"/>
      <c r="CV40" s="50"/>
      <c r="CW40" s="50"/>
      <c r="CX40" s="50"/>
      <c r="CY40" s="50"/>
      <c r="CZ40" s="50"/>
      <c r="DA40" s="50"/>
      <c r="DB40" s="50"/>
      <c r="DC40" s="50"/>
      <c r="DD40" s="50"/>
      <c r="DE40" s="50"/>
      <c r="DF40" s="50"/>
      <c r="DG40" s="50"/>
      <c r="DH40" s="50"/>
      <c r="DI40" s="50"/>
      <c r="DJ40" s="50"/>
      <c r="DK40" s="50"/>
      <c r="DL40" s="50"/>
      <c r="DM40" s="50"/>
      <c r="DN40" s="50"/>
      <c r="DO40" s="50"/>
      <c r="DP40" s="50"/>
      <c r="DQ40" s="50"/>
      <c r="DR40" s="50"/>
      <c r="DS40" s="50"/>
      <c r="DT40" s="50"/>
      <c r="DU40" s="50"/>
      <c r="DV40" s="50"/>
      <c r="DW40" s="50"/>
      <c r="DX40" s="50"/>
      <c r="DY40" s="50"/>
      <c r="DZ40" s="50"/>
      <c r="EA40" s="50"/>
      <c r="EB40" s="50"/>
      <c r="EC40" s="50"/>
      <c r="ED40" s="50"/>
      <c r="EE40" s="50"/>
      <c r="EF40" s="50"/>
      <c r="EG40" s="50"/>
      <c r="EH40" s="50"/>
      <c r="EI40" s="50"/>
      <c r="EJ40" s="50"/>
      <c r="EK40" s="50"/>
      <c r="EL40" s="50"/>
      <c r="EM40" s="50"/>
      <c r="EN40" s="50"/>
      <c r="EO40" s="50"/>
      <c r="EP40" s="50"/>
      <c r="EQ40" s="50"/>
      <c r="ER40" s="50"/>
      <c r="ES40" s="50"/>
      <c r="ET40" s="50"/>
      <c r="EU40" s="50"/>
      <c r="EV40" s="50"/>
      <c r="EW40" s="50"/>
      <c r="EX40" s="50"/>
      <c r="EY40" s="50"/>
      <c r="EZ40" s="50"/>
      <c r="FA40" s="50"/>
      <c r="FB40" s="50"/>
      <c r="FC40" s="50"/>
      <c r="FD40" s="50"/>
      <c r="FE40" s="50"/>
      <c r="FF40" s="50"/>
      <c r="FG40" s="50"/>
      <c r="FH40" s="50"/>
      <c r="FI40" s="50"/>
      <c r="FJ40" s="50"/>
      <c r="FK40" s="50"/>
      <c r="FL40" s="50"/>
      <c r="FM40" s="50"/>
      <c r="FN40" s="50"/>
      <c r="FO40" s="50"/>
      <c r="FP40" s="50"/>
      <c r="FQ40" s="50"/>
      <c r="FR40" s="50"/>
      <c r="FS40" s="50"/>
      <c r="FT40" s="50"/>
      <c r="FU40" s="50"/>
      <c r="FV40" s="50"/>
      <c r="FW40" s="50"/>
      <c r="FX40" s="50"/>
      <c r="FY40" s="50"/>
      <c r="FZ40" s="50"/>
      <c r="GA40" s="50"/>
      <c r="GB40" s="50"/>
      <c r="GC40" s="50"/>
      <c r="GD40" s="50"/>
      <c r="GE40" s="50"/>
      <c r="GF40" s="50"/>
      <c r="GG40" s="50"/>
      <c r="GH40" s="50"/>
      <c r="GI40" s="50"/>
      <c r="GJ40" s="50"/>
      <c r="GK40" s="50"/>
      <c r="GL40" s="50"/>
      <c r="GM40" s="50"/>
      <c r="GN40" s="50"/>
      <c r="GO40" s="50"/>
      <c r="GP40" s="50"/>
      <c r="GQ40" s="50"/>
      <c r="GR40" s="50"/>
      <c r="GS40" s="50"/>
      <c r="GT40" s="50"/>
      <c r="GU40" s="50"/>
      <c r="GV40" s="50"/>
      <c r="GW40" s="50"/>
      <c r="GX40" s="50"/>
      <c r="GY40" s="50"/>
      <c r="GZ40" s="50"/>
      <c r="HA40" s="50"/>
      <c r="HB40" s="50"/>
      <c r="HC40" s="50"/>
      <c r="HD40" s="50"/>
      <c r="HE40" s="50"/>
      <c r="HF40" s="50"/>
      <c r="HG40" s="50"/>
      <c r="HH40" s="50"/>
      <c r="HI40" s="50"/>
      <c r="HJ40" s="50"/>
      <c r="HK40" s="50"/>
      <c r="HL40" s="50"/>
      <c r="HM40" s="50"/>
      <c r="HN40" s="50"/>
      <c r="HO40" s="50"/>
      <c r="HP40" s="50"/>
      <c r="HQ40" s="50"/>
      <c r="HR40" s="50"/>
      <c r="HS40" s="50"/>
      <c r="HT40" s="50"/>
      <c r="HU40" s="50"/>
      <c r="HV40" s="50"/>
      <c r="HW40" s="50"/>
      <c r="HX40" s="50"/>
      <c r="HY40" s="50"/>
      <c r="HZ40" s="50"/>
      <c r="IA40" s="50"/>
      <c r="IB40" s="50"/>
      <c r="IC40" s="50"/>
      <c r="ID40" s="50"/>
      <c r="IE40" s="50"/>
      <c r="IF40" s="50"/>
      <c r="IG40" s="50"/>
      <c r="IH40" s="50"/>
      <c r="II40" s="50"/>
      <c r="IJ40" s="50"/>
      <c r="IK40" s="50"/>
      <c r="IL40" s="50"/>
      <c r="IM40" s="50"/>
      <c r="IN40" s="50"/>
      <c r="IO40" s="50"/>
      <c r="IP40" s="50"/>
      <c r="IQ40" s="50"/>
      <c r="IR40" s="50"/>
      <c r="IS40" s="50"/>
      <c r="IT40" s="50"/>
      <c r="IU40" s="50"/>
      <c r="IV40" s="50"/>
    </row>
    <row r="41" spans="1:256" s="2" customFormat="1" ht="32.25" customHeight="1">
      <c r="A41" s="136" t="s">
        <v>1645</v>
      </c>
      <c r="B41" s="137" t="s">
        <v>696</v>
      </c>
      <c r="C41" s="47">
        <f t="shared" si="1"/>
        <v>279817</v>
      </c>
      <c r="D41" s="252">
        <f>+'PL 04'!W123</f>
        <v>5125</v>
      </c>
      <c r="E41" s="252"/>
      <c r="F41" s="252"/>
      <c r="G41" s="252"/>
      <c r="H41" s="252"/>
      <c r="I41" s="252"/>
      <c r="J41" s="47"/>
      <c r="K41" s="47"/>
      <c r="L41" s="47"/>
      <c r="M41" s="47">
        <f>+N41+O41</f>
        <v>274692</v>
      </c>
      <c r="N41" s="252">
        <f>+'PL 04'!W770</f>
        <v>262192</v>
      </c>
      <c r="O41" s="47">
        <f>+'PL 04'!W524</f>
        <v>12500</v>
      </c>
      <c r="P41" s="47"/>
      <c r="Q41" s="47"/>
      <c r="R41" s="47"/>
      <c r="S41" s="116">
        <f t="shared" si="3"/>
        <v>0</v>
      </c>
      <c r="T41" s="275"/>
      <c r="U41" s="116">
        <f t="shared" si="4"/>
        <v>0</v>
      </c>
      <c r="V41" s="275"/>
      <c r="W41" s="275"/>
      <c r="X41" s="275"/>
      <c r="Y41" s="275"/>
      <c r="Z41" s="275"/>
      <c r="AA41" s="275"/>
      <c r="AB41" s="275"/>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c r="HB41" s="50"/>
      <c r="HC41" s="50"/>
      <c r="HD41" s="50"/>
      <c r="HE41" s="50"/>
      <c r="HF41" s="50"/>
      <c r="HG41" s="50"/>
      <c r="HH41" s="50"/>
      <c r="HI41" s="50"/>
      <c r="HJ41" s="50"/>
      <c r="HK41" s="50"/>
      <c r="HL41" s="50"/>
      <c r="HM41" s="50"/>
      <c r="HN41" s="50"/>
      <c r="HO41" s="50"/>
      <c r="HP41" s="50"/>
      <c r="HQ41" s="50"/>
      <c r="HR41" s="50"/>
      <c r="HS41" s="50"/>
      <c r="HT41" s="50"/>
      <c r="HU41" s="50"/>
      <c r="HV41" s="50"/>
      <c r="HW41" s="50"/>
      <c r="HX41" s="50"/>
      <c r="HY41" s="50"/>
      <c r="HZ41" s="50"/>
      <c r="IA41" s="50"/>
      <c r="IB41" s="50"/>
      <c r="IC41" s="50"/>
      <c r="ID41" s="50"/>
      <c r="IE41" s="50"/>
      <c r="IF41" s="50"/>
      <c r="IG41" s="50"/>
      <c r="IH41" s="50"/>
      <c r="II41" s="50"/>
      <c r="IJ41" s="50"/>
      <c r="IK41" s="50"/>
      <c r="IL41" s="50"/>
      <c r="IM41" s="50"/>
      <c r="IN41" s="50"/>
      <c r="IO41" s="50"/>
      <c r="IP41" s="50"/>
      <c r="IQ41" s="50"/>
      <c r="IR41" s="50"/>
      <c r="IS41" s="50"/>
      <c r="IT41" s="50"/>
      <c r="IU41" s="50"/>
      <c r="IV41" s="50"/>
    </row>
    <row r="42" spans="1:256" s="2" customFormat="1" ht="32.25" customHeight="1">
      <c r="A42" s="136">
        <v>12</v>
      </c>
      <c r="B42" s="137" t="s">
        <v>1385</v>
      </c>
      <c r="C42" s="47">
        <f t="shared" si="1"/>
        <v>0</v>
      </c>
      <c r="D42" s="252"/>
      <c r="E42" s="252"/>
      <c r="F42" s="252"/>
      <c r="G42" s="252"/>
      <c r="H42" s="252"/>
      <c r="I42" s="252"/>
      <c r="J42" s="47"/>
      <c r="K42" s="47"/>
      <c r="L42" s="47"/>
      <c r="M42" s="47">
        <f>+N42+O42</f>
        <v>0</v>
      </c>
      <c r="N42" s="252"/>
      <c r="O42" s="47"/>
      <c r="P42" s="47"/>
      <c r="Q42" s="47"/>
      <c r="R42" s="47"/>
      <c r="S42" s="116">
        <f t="shared" si="3"/>
        <v>0</v>
      </c>
      <c r="T42" s="275"/>
      <c r="U42" s="116">
        <f t="shared" si="4"/>
        <v>0</v>
      </c>
      <c r="V42" s="275"/>
      <c r="W42" s="275"/>
      <c r="X42" s="275"/>
      <c r="Y42" s="275"/>
      <c r="Z42" s="275"/>
      <c r="AA42" s="275"/>
      <c r="AB42" s="275"/>
      <c r="AC42" s="50"/>
      <c r="AD42" s="50"/>
      <c r="AE42" s="50"/>
      <c r="AF42" s="50"/>
      <c r="AG42" s="50"/>
      <c r="AH42" s="50"/>
      <c r="AI42" s="50"/>
      <c r="AJ42" s="50"/>
      <c r="AK42" s="50"/>
      <c r="AL42" s="50"/>
      <c r="AM42" s="50"/>
      <c r="AN42" s="50"/>
      <c r="AO42" s="50"/>
      <c r="AP42" s="50"/>
      <c r="AQ42" s="50"/>
      <c r="AR42" s="50"/>
      <c r="AS42" s="50"/>
      <c r="AT42" s="50"/>
      <c r="AU42" s="50"/>
      <c r="AV42" s="50"/>
      <c r="AW42" s="50"/>
      <c r="AX42" s="50"/>
      <c r="AY42" s="50"/>
      <c r="AZ42" s="50"/>
      <c r="BA42" s="50"/>
      <c r="BB42" s="50"/>
      <c r="BC42" s="50"/>
      <c r="BD42" s="50"/>
      <c r="BE42" s="50"/>
      <c r="BF42" s="50"/>
      <c r="BG42" s="50"/>
      <c r="BH42" s="50"/>
      <c r="BI42" s="50"/>
      <c r="BJ42" s="50"/>
      <c r="BK42" s="50"/>
      <c r="BL42" s="50"/>
      <c r="BM42" s="50"/>
      <c r="BN42" s="50"/>
      <c r="BO42" s="50"/>
      <c r="BP42" s="50"/>
      <c r="BQ42" s="50"/>
      <c r="BR42" s="50"/>
      <c r="BS42" s="50"/>
      <c r="BT42" s="50"/>
      <c r="BU42" s="50"/>
      <c r="BV42" s="50"/>
      <c r="BW42" s="50"/>
      <c r="BX42" s="50"/>
      <c r="BY42" s="50"/>
      <c r="BZ42" s="50"/>
      <c r="CA42" s="50"/>
      <c r="CB42" s="50"/>
      <c r="CC42" s="50"/>
      <c r="CD42" s="50"/>
      <c r="CE42" s="50"/>
      <c r="CF42" s="50"/>
      <c r="CG42" s="50"/>
      <c r="CH42" s="50"/>
      <c r="CI42" s="50"/>
      <c r="CJ42" s="50"/>
      <c r="CK42" s="50"/>
      <c r="CL42" s="50"/>
      <c r="CM42" s="50"/>
      <c r="CN42" s="50"/>
      <c r="CO42" s="50"/>
      <c r="CP42" s="50"/>
      <c r="CQ42" s="50"/>
      <c r="CR42" s="50"/>
      <c r="CS42" s="50"/>
      <c r="CT42" s="50"/>
      <c r="CU42" s="50"/>
      <c r="CV42" s="50"/>
      <c r="CW42" s="50"/>
      <c r="CX42" s="50"/>
      <c r="CY42" s="50"/>
      <c r="CZ42" s="50"/>
      <c r="DA42" s="50"/>
      <c r="DB42" s="50"/>
      <c r="DC42" s="50"/>
      <c r="DD42" s="50"/>
      <c r="DE42" s="50"/>
      <c r="DF42" s="50"/>
      <c r="DG42" s="50"/>
      <c r="DH42" s="50"/>
      <c r="DI42" s="50"/>
      <c r="DJ42" s="50"/>
      <c r="DK42" s="50"/>
      <c r="DL42" s="50"/>
      <c r="DM42" s="50"/>
      <c r="DN42" s="50"/>
      <c r="DO42" s="50"/>
      <c r="DP42" s="50"/>
      <c r="DQ42" s="50"/>
      <c r="DR42" s="50"/>
      <c r="DS42" s="50"/>
      <c r="DT42" s="50"/>
      <c r="DU42" s="50"/>
      <c r="DV42" s="50"/>
      <c r="DW42" s="50"/>
      <c r="DX42" s="50"/>
      <c r="DY42" s="50"/>
      <c r="DZ42" s="50"/>
      <c r="EA42" s="50"/>
      <c r="EB42" s="50"/>
      <c r="EC42" s="50"/>
      <c r="ED42" s="50"/>
      <c r="EE42" s="50"/>
      <c r="EF42" s="50"/>
      <c r="EG42" s="50"/>
      <c r="EH42" s="50"/>
      <c r="EI42" s="50"/>
      <c r="EJ42" s="50"/>
      <c r="EK42" s="50"/>
      <c r="EL42" s="50"/>
      <c r="EM42" s="50"/>
      <c r="EN42" s="50"/>
      <c r="EO42" s="50"/>
      <c r="EP42" s="50"/>
      <c r="EQ42" s="50"/>
      <c r="ER42" s="50"/>
      <c r="ES42" s="50"/>
      <c r="ET42" s="50"/>
      <c r="EU42" s="50"/>
      <c r="EV42" s="50"/>
      <c r="EW42" s="50"/>
      <c r="EX42" s="50"/>
      <c r="EY42" s="50"/>
      <c r="EZ42" s="50"/>
      <c r="FA42" s="50"/>
      <c r="FB42" s="50"/>
      <c r="FC42" s="50"/>
      <c r="FD42" s="50"/>
      <c r="FE42" s="50"/>
      <c r="FF42" s="50"/>
      <c r="FG42" s="50"/>
      <c r="FH42" s="50"/>
      <c r="FI42" s="50"/>
      <c r="FJ42" s="50"/>
      <c r="FK42" s="50"/>
      <c r="FL42" s="50"/>
      <c r="FM42" s="50"/>
      <c r="FN42" s="50"/>
      <c r="FO42" s="50"/>
      <c r="FP42" s="50"/>
      <c r="FQ42" s="50"/>
      <c r="FR42" s="50"/>
      <c r="FS42" s="50"/>
      <c r="FT42" s="50"/>
      <c r="FU42" s="50"/>
      <c r="FV42" s="50"/>
      <c r="FW42" s="50"/>
      <c r="FX42" s="50"/>
      <c r="FY42" s="50"/>
      <c r="FZ42" s="50"/>
      <c r="GA42" s="50"/>
      <c r="GB42" s="50"/>
      <c r="GC42" s="50"/>
      <c r="GD42" s="50"/>
      <c r="GE42" s="50"/>
      <c r="GF42" s="50"/>
      <c r="GG42" s="50"/>
      <c r="GH42" s="50"/>
      <c r="GI42" s="50"/>
      <c r="GJ42" s="50"/>
      <c r="GK42" s="50"/>
      <c r="GL42" s="50"/>
      <c r="GM42" s="50"/>
      <c r="GN42" s="50"/>
      <c r="GO42" s="50"/>
      <c r="GP42" s="50"/>
      <c r="GQ42" s="50"/>
      <c r="GR42" s="50"/>
      <c r="GS42" s="50"/>
      <c r="GT42" s="50"/>
      <c r="GU42" s="50"/>
      <c r="GV42" s="50"/>
      <c r="GW42" s="50"/>
      <c r="GX42" s="50"/>
      <c r="GY42" s="50"/>
      <c r="GZ42" s="50"/>
      <c r="HA42" s="50"/>
      <c r="HB42" s="50"/>
      <c r="HC42" s="50"/>
      <c r="HD42" s="50"/>
      <c r="HE42" s="50"/>
      <c r="HF42" s="50"/>
      <c r="HG42" s="50"/>
      <c r="HH42" s="50"/>
      <c r="HI42" s="50"/>
      <c r="HJ42" s="50"/>
      <c r="HK42" s="50"/>
      <c r="HL42" s="50"/>
      <c r="HM42" s="50"/>
      <c r="HN42" s="50"/>
      <c r="HO42" s="50"/>
      <c r="HP42" s="50"/>
      <c r="HQ42" s="50"/>
      <c r="HR42" s="50"/>
      <c r="HS42" s="50"/>
      <c r="HT42" s="50"/>
      <c r="HU42" s="50"/>
      <c r="HV42" s="50"/>
      <c r="HW42" s="50"/>
      <c r="HX42" s="50"/>
      <c r="HY42" s="50"/>
      <c r="HZ42" s="50"/>
      <c r="IA42" s="50"/>
      <c r="IB42" s="50"/>
      <c r="IC42" s="50"/>
      <c r="ID42" s="50"/>
      <c r="IE42" s="50"/>
      <c r="IF42" s="50"/>
      <c r="IG42" s="50"/>
      <c r="IH42" s="50"/>
      <c r="II42" s="50"/>
      <c r="IJ42" s="50"/>
      <c r="IK42" s="50"/>
      <c r="IL42" s="50"/>
      <c r="IM42" s="50"/>
      <c r="IN42" s="50"/>
      <c r="IO42" s="50"/>
      <c r="IP42" s="50"/>
      <c r="IQ42" s="50"/>
      <c r="IR42" s="50"/>
      <c r="IS42" s="50"/>
      <c r="IT42" s="50"/>
      <c r="IU42" s="50"/>
      <c r="IV42" s="50"/>
    </row>
    <row r="43" spans="1:256" s="2" customFormat="1" ht="32.25" customHeight="1">
      <c r="A43" s="136" t="s">
        <v>1322</v>
      </c>
      <c r="B43" s="137" t="s">
        <v>55</v>
      </c>
      <c r="C43" s="47">
        <f t="shared" si="1"/>
        <v>1205804.92</v>
      </c>
      <c r="D43" s="252">
        <f>+'PL 04'!W94</f>
        <v>62188</v>
      </c>
      <c r="E43" s="252"/>
      <c r="F43" s="252"/>
      <c r="G43" s="252"/>
      <c r="H43" s="252"/>
      <c r="I43" s="252">
        <f>+'PL 04'!W256</f>
        <v>15031</v>
      </c>
      <c r="J43" s="47"/>
      <c r="K43" s="47"/>
      <c r="L43" s="47"/>
      <c r="M43" s="47">
        <f>+'PL 04'!W920+N43+O43+'PL 03'!W89</f>
        <v>1128285.92</v>
      </c>
      <c r="N43" s="252">
        <f>+'PL 04'!W591+'PL 03'!W48</f>
        <v>1002246.92</v>
      </c>
      <c r="O43" s="47">
        <f>+'PL 04'!W330+'PL 02'!W32</f>
        <v>115992</v>
      </c>
      <c r="P43" s="47"/>
      <c r="Q43" s="47">
        <f>+'PL 04'!W992</f>
        <v>300</v>
      </c>
      <c r="R43" s="47"/>
      <c r="S43" s="116">
        <f>+M43-N43-O43</f>
        <v>10046.999999999884</v>
      </c>
      <c r="T43" s="275"/>
      <c r="U43" s="116">
        <f t="shared" si="4"/>
        <v>10046.999999999884</v>
      </c>
      <c r="V43" s="275"/>
      <c r="W43" s="275"/>
      <c r="X43" s="275"/>
      <c r="Y43" s="275"/>
      <c r="Z43" s="275"/>
      <c r="AA43" s="275"/>
      <c r="AB43" s="275"/>
      <c r="AC43" s="50"/>
      <c r="AD43" s="50"/>
      <c r="AE43" s="50"/>
      <c r="AF43" s="50"/>
      <c r="AG43" s="50"/>
      <c r="AH43" s="50"/>
      <c r="AI43" s="50"/>
      <c r="AJ43" s="50"/>
      <c r="AK43" s="50"/>
      <c r="AL43" s="50"/>
      <c r="AM43" s="50"/>
      <c r="AN43" s="50"/>
      <c r="AO43" s="50"/>
      <c r="AP43" s="50"/>
      <c r="AQ43" s="50"/>
      <c r="AR43" s="50"/>
      <c r="AS43" s="50"/>
      <c r="AT43" s="50"/>
      <c r="AU43" s="50"/>
      <c r="AV43" s="50"/>
      <c r="AW43" s="50"/>
      <c r="AX43" s="50"/>
      <c r="AY43" s="50"/>
      <c r="AZ43" s="50"/>
      <c r="BA43" s="50"/>
      <c r="BB43" s="50"/>
      <c r="BC43" s="50"/>
      <c r="BD43" s="50"/>
      <c r="BE43" s="50"/>
      <c r="BF43" s="50"/>
      <c r="BG43" s="50"/>
      <c r="BH43" s="50"/>
      <c r="BI43" s="50"/>
      <c r="BJ43" s="50"/>
      <c r="BK43" s="50"/>
      <c r="BL43" s="50"/>
      <c r="BM43" s="50"/>
      <c r="BN43" s="50"/>
      <c r="BO43" s="50"/>
      <c r="BP43" s="50"/>
      <c r="BQ43" s="50"/>
      <c r="BR43" s="50"/>
      <c r="BS43" s="50"/>
      <c r="BT43" s="50"/>
      <c r="BU43" s="50"/>
      <c r="BV43" s="50"/>
      <c r="BW43" s="50"/>
      <c r="BX43" s="50"/>
      <c r="BY43" s="50"/>
      <c r="BZ43" s="50"/>
      <c r="CA43" s="50"/>
      <c r="CB43" s="50"/>
      <c r="CC43" s="50"/>
      <c r="CD43" s="50"/>
      <c r="CE43" s="50"/>
      <c r="CF43" s="50"/>
      <c r="CG43" s="50"/>
      <c r="CH43" s="50"/>
      <c r="CI43" s="50"/>
      <c r="CJ43" s="50"/>
      <c r="CK43" s="50"/>
      <c r="CL43" s="50"/>
      <c r="CM43" s="50"/>
      <c r="CN43" s="50"/>
      <c r="CO43" s="50"/>
      <c r="CP43" s="50"/>
      <c r="CQ43" s="50"/>
      <c r="CR43" s="50"/>
      <c r="CS43" s="50"/>
      <c r="CT43" s="50"/>
      <c r="CU43" s="50"/>
      <c r="CV43" s="50"/>
      <c r="CW43" s="50"/>
      <c r="CX43" s="50"/>
      <c r="CY43" s="50"/>
      <c r="CZ43" s="50"/>
      <c r="DA43" s="50"/>
      <c r="DB43" s="50"/>
      <c r="DC43" s="50"/>
      <c r="DD43" s="50"/>
      <c r="DE43" s="50"/>
      <c r="DF43" s="50"/>
      <c r="DG43" s="50"/>
      <c r="DH43" s="50"/>
      <c r="DI43" s="50"/>
      <c r="DJ43" s="50"/>
      <c r="DK43" s="50"/>
      <c r="DL43" s="50"/>
      <c r="DM43" s="50"/>
      <c r="DN43" s="50"/>
      <c r="DO43" s="50"/>
      <c r="DP43" s="50"/>
      <c r="DQ43" s="50"/>
      <c r="DR43" s="50"/>
      <c r="DS43" s="50"/>
      <c r="DT43" s="50"/>
      <c r="DU43" s="50"/>
      <c r="DV43" s="50"/>
      <c r="DW43" s="50"/>
      <c r="DX43" s="50"/>
      <c r="DY43" s="50"/>
      <c r="DZ43" s="50"/>
      <c r="EA43" s="50"/>
      <c r="EB43" s="50"/>
      <c r="EC43" s="50"/>
      <c r="ED43" s="50"/>
      <c r="EE43" s="50"/>
      <c r="EF43" s="50"/>
      <c r="EG43" s="50"/>
      <c r="EH43" s="50"/>
      <c r="EI43" s="50"/>
      <c r="EJ43" s="50"/>
      <c r="EK43" s="50"/>
      <c r="EL43" s="50"/>
      <c r="EM43" s="50"/>
      <c r="EN43" s="50"/>
      <c r="EO43" s="50"/>
      <c r="EP43" s="50"/>
      <c r="EQ43" s="50"/>
      <c r="ER43" s="50"/>
      <c r="ES43" s="50"/>
      <c r="ET43" s="50"/>
      <c r="EU43" s="50"/>
      <c r="EV43" s="50"/>
      <c r="EW43" s="50"/>
      <c r="EX43" s="50"/>
      <c r="EY43" s="50"/>
      <c r="EZ43" s="50"/>
      <c r="FA43" s="50"/>
      <c r="FB43" s="50"/>
      <c r="FC43" s="50"/>
      <c r="FD43" s="50"/>
      <c r="FE43" s="50"/>
      <c r="FF43" s="50"/>
      <c r="FG43" s="50"/>
      <c r="FH43" s="50"/>
      <c r="FI43" s="50"/>
      <c r="FJ43" s="50"/>
      <c r="FK43" s="50"/>
      <c r="FL43" s="50"/>
      <c r="FM43" s="50"/>
      <c r="FN43" s="50"/>
      <c r="FO43" s="50"/>
      <c r="FP43" s="50"/>
      <c r="FQ43" s="50"/>
      <c r="FR43" s="50"/>
      <c r="FS43" s="50"/>
      <c r="FT43" s="50"/>
      <c r="FU43" s="50"/>
      <c r="FV43" s="50"/>
      <c r="FW43" s="50"/>
      <c r="FX43" s="50"/>
      <c r="FY43" s="50"/>
      <c r="FZ43" s="50"/>
      <c r="GA43" s="50"/>
      <c r="GB43" s="50"/>
      <c r="GC43" s="50"/>
      <c r="GD43" s="50"/>
      <c r="GE43" s="50"/>
      <c r="GF43" s="50"/>
      <c r="GG43" s="50"/>
      <c r="GH43" s="50"/>
      <c r="GI43" s="50"/>
      <c r="GJ43" s="50"/>
      <c r="GK43" s="50"/>
      <c r="GL43" s="50"/>
      <c r="GM43" s="50"/>
      <c r="GN43" s="50"/>
      <c r="GO43" s="50"/>
      <c r="GP43" s="50"/>
      <c r="GQ43" s="50"/>
      <c r="GR43" s="50"/>
      <c r="GS43" s="50"/>
      <c r="GT43" s="50"/>
      <c r="GU43" s="50"/>
      <c r="GV43" s="50"/>
      <c r="GW43" s="50"/>
      <c r="GX43" s="50"/>
      <c r="GY43" s="50"/>
      <c r="GZ43" s="50"/>
      <c r="HA43" s="50"/>
      <c r="HB43" s="50"/>
      <c r="HC43" s="50"/>
      <c r="HD43" s="50"/>
      <c r="HE43" s="50"/>
      <c r="HF43" s="50"/>
      <c r="HG43" s="50"/>
      <c r="HH43" s="50"/>
      <c r="HI43" s="50"/>
      <c r="HJ43" s="50"/>
      <c r="HK43" s="50"/>
      <c r="HL43" s="50"/>
      <c r="HM43" s="50"/>
      <c r="HN43" s="50"/>
      <c r="HO43" s="50"/>
      <c r="HP43" s="50"/>
      <c r="HQ43" s="50"/>
      <c r="HR43" s="50"/>
      <c r="HS43" s="50"/>
      <c r="HT43" s="50"/>
      <c r="HU43" s="50"/>
      <c r="HV43" s="50"/>
      <c r="HW43" s="50"/>
      <c r="HX43" s="50"/>
      <c r="HY43" s="50"/>
      <c r="HZ43" s="50"/>
      <c r="IA43" s="50"/>
      <c r="IB43" s="50"/>
      <c r="IC43" s="50"/>
      <c r="ID43" s="50"/>
      <c r="IE43" s="50"/>
      <c r="IF43" s="50"/>
      <c r="IG43" s="50"/>
      <c r="IH43" s="50"/>
      <c r="II43" s="50"/>
      <c r="IJ43" s="50"/>
      <c r="IK43" s="50"/>
      <c r="IL43" s="50"/>
      <c r="IM43" s="50"/>
      <c r="IN43" s="50"/>
      <c r="IO43" s="50"/>
      <c r="IP43" s="50"/>
      <c r="IQ43" s="50"/>
      <c r="IR43" s="50"/>
      <c r="IS43" s="50"/>
      <c r="IT43" s="50"/>
      <c r="IU43" s="50"/>
      <c r="IV43" s="50"/>
    </row>
    <row r="44" spans="1:256" s="2" customFormat="1" ht="32.25" customHeight="1">
      <c r="A44" s="136" t="s">
        <v>1631</v>
      </c>
      <c r="B44" s="137" t="s">
        <v>89</v>
      </c>
      <c r="C44" s="47">
        <f>SUM(D44:M44)+SUM(P44:R44)</f>
        <v>402136.39600000001</v>
      </c>
      <c r="D44" s="252">
        <f>+'PL 04'!W76</f>
        <v>8435</v>
      </c>
      <c r="E44" s="252"/>
      <c r="F44" s="252"/>
      <c r="G44" s="252"/>
      <c r="H44" s="252"/>
      <c r="I44" s="252"/>
      <c r="J44" s="47"/>
      <c r="K44" s="47"/>
      <c r="L44" s="47">
        <f>+'PL 04'!W294+'PL 02'!W41</f>
        <v>62531</v>
      </c>
      <c r="M44" s="47">
        <f>+'PL 04'!W915+N44+O44</f>
        <v>331170.39600000001</v>
      </c>
      <c r="N44" s="252">
        <f>+'PL 04'!W639+'PL 03'!W76</f>
        <v>270170.39600000001</v>
      </c>
      <c r="O44" s="47"/>
      <c r="P44" s="47"/>
      <c r="Q44" s="47"/>
      <c r="R44" s="47"/>
      <c r="S44" s="116">
        <f t="shared" si="3"/>
        <v>61000</v>
      </c>
      <c r="T44" s="275"/>
      <c r="U44" s="116">
        <f t="shared" si="4"/>
        <v>61000</v>
      </c>
      <c r="V44" s="275"/>
      <c r="W44" s="275"/>
      <c r="X44" s="275"/>
      <c r="Y44" s="275"/>
      <c r="Z44" s="275"/>
      <c r="AA44" s="275"/>
      <c r="AB44" s="275"/>
      <c r="AC44" s="50"/>
      <c r="AD44" s="50"/>
      <c r="AE44" s="50"/>
      <c r="AF44" s="50"/>
      <c r="AG44" s="50"/>
      <c r="AH44" s="50"/>
      <c r="AI44" s="50"/>
      <c r="AJ44" s="50"/>
      <c r="AK44" s="50"/>
      <c r="AL44" s="50"/>
      <c r="AM44" s="50"/>
      <c r="AN44" s="50"/>
      <c r="AO44" s="50"/>
      <c r="AP44" s="50"/>
      <c r="AQ44" s="50"/>
      <c r="AR44" s="50"/>
      <c r="AS44" s="50"/>
      <c r="AT44" s="50"/>
      <c r="AU44" s="50"/>
      <c r="AV44" s="50"/>
      <c r="AW44" s="50"/>
      <c r="AX44" s="50"/>
      <c r="AY44" s="50"/>
      <c r="AZ44" s="50"/>
      <c r="BA44" s="50"/>
      <c r="BB44" s="50"/>
      <c r="BC44" s="50"/>
      <c r="BD44" s="50"/>
      <c r="BE44" s="50"/>
      <c r="BF44" s="50"/>
      <c r="BG44" s="50"/>
      <c r="BH44" s="50"/>
      <c r="BI44" s="50"/>
      <c r="BJ44" s="50"/>
      <c r="BK44" s="50"/>
      <c r="BL44" s="50"/>
      <c r="BM44" s="50"/>
      <c r="BN44" s="50"/>
      <c r="BO44" s="50"/>
      <c r="BP44" s="50"/>
      <c r="BQ44" s="50"/>
      <c r="BR44" s="50"/>
      <c r="BS44" s="50"/>
      <c r="BT44" s="50"/>
      <c r="BU44" s="50"/>
      <c r="BV44" s="50"/>
      <c r="BW44" s="50"/>
      <c r="BX44" s="50"/>
      <c r="BY44" s="50"/>
      <c r="BZ44" s="50"/>
      <c r="CA44" s="50"/>
      <c r="CB44" s="50"/>
      <c r="CC44" s="50"/>
      <c r="CD44" s="50"/>
      <c r="CE44" s="50"/>
      <c r="CF44" s="50"/>
      <c r="CG44" s="50"/>
      <c r="CH44" s="50"/>
      <c r="CI44" s="50"/>
      <c r="CJ44" s="50"/>
      <c r="CK44" s="50"/>
      <c r="CL44" s="50"/>
      <c r="CM44" s="50"/>
      <c r="CN44" s="50"/>
      <c r="CO44" s="50"/>
      <c r="CP44" s="50"/>
      <c r="CQ44" s="50"/>
      <c r="CR44" s="50"/>
      <c r="CS44" s="50"/>
      <c r="CT44" s="50"/>
      <c r="CU44" s="50"/>
      <c r="CV44" s="50"/>
      <c r="CW44" s="50"/>
      <c r="CX44" s="50"/>
      <c r="CY44" s="50"/>
      <c r="CZ44" s="50"/>
      <c r="DA44" s="50"/>
      <c r="DB44" s="50"/>
      <c r="DC44" s="50"/>
      <c r="DD44" s="50"/>
      <c r="DE44" s="50"/>
      <c r="DF44" s="50"/>
      <c r="DG44" s="50"/>
      <c r="DH44" s="50"/>
      <c r="DI44" s="50"/>
      <c r="DJ44" s="50"/>
      <c r="DK44" s="50"/>
      <c r="DL44" s="50"/>
      <c r="DM44" s="50"/>
      <c r="DN44" s="50"/>
      <c r="DO44" s="50"/>
      <c r="DP44" s="50"/>
      <c r="DQ44" s="50"/>
      <c r="DR44" s="50"/>
      <c r="DS44" s="50"/>
      <c r="DT44" s="50"/>
      <c r="DU44" s="50"/>
      <c r="DV44" s="50"/>
      <c r="DW44" s="50"/>
      <c r="DX44" s="50"/>
      <c r="DY44" s="50"/>
      <c r="DZ44" s="50"/>
      <c r="EA44" s="50"/>
      <c r="EB44" s="50"/>
      <c r="EC44" s="50"/>
      <c r="ED44" s="50"/>
      <c r="EE44" s="50"/>
      <c r="EF44" s="50"/>
      <c r="EG44" s="50"/>
      <c r="EH44" s="50"/>
      <c r="EI44" s="50"/>
      <c r="EJ44" s="50"/>
      <c r="EK44" s="50"/>
      <c r="EL44" s="50"/>
      <c r="EM44" s="50"/>
      <c r="EN44" s="50"/>
      <c r="EO44" s="50"/>
      <c r="EP44" s="50"/>
      <c r="EQ44" s="50"/>
      <c r="ER44" s="50"/>
      <c r="ES44" s="50"/>
      <c r="ET44" s="50"/>
      <c r="EU44" s="50"/>
      <c r="EV44" s="50"/>
      <c r="EW44" s="50"/>
      <c r="EX44" s="50"/>
      <c r="EY44" s="50"/>
      <c r="EZ44" s="50"/>
      <c r="FA44" s="50"/>
      <c r="FB44" s="50"/>
      <c r="FC44" s="50"/>
      <c r="FD44" s="50"/>
      <c r="FE44" s="50"/>
      <c r="FF44" s="50"/>
      <c r="FG44" s="50"/>
      <c r="FH44" s="50"/>
      <c r="FI44" s="50"/>
      <c r="FJ44" s="50"/>
      <c r="FK44" s="50"/>
      <c r="FL44" s="50"/>
      <c r="FM44" s="50"/>
      <c r="FN44" s="50"/>
      <c r="FO44" s="50"/>
      <c r="FP44" s="50"/>
      <c r="FQ44" s="50"/>
      <c r="FR44" s="50"/>
      <c r="FS44" s="50"/>
      <c r="FT44" s="50"/>
      <c r="FU44" s="50"/>
      <c r="FV44" s="50"/>
      <c r="FW44" s="50"/>
      <c r="FX44" s="50"/>
      <c r="FY44" s="50"/>
      <c r="FZ44" s="50"/>
      <c r="GA44" s="50"/>
      <c r="GB44" s="50"/>
      <c r="GC44" s="50"/>
      <c r="GD44" s="50"/>
      <c r="GE44" s="50"/>
      <c r="GF44" s="50"/>
      <c r="GG44" s="50"/>
      <c r="GH44" s="50"/>
      <c r="GI44" s="50"/>
      <c r="GJ44" s="50"/>
      <c r="GK44" s="50"/>
      <c r="GL44" s="50"/>
      <c r="GM44" s="50"/>
      <c r="GN44" s="50"/>
      <c r="GO44" s="50"/>
      <c r="GP44" s="50"/>
      <c r="GQ44" s="50"/>
      <c r="GR44" s="50"/>
      <c r="GS44" s="50"/>
      <c r="GT44" s="50"/>
      <c r="GU44" s="50"/>
      <c r="GV44" s="50"/>
      <c r="GW44" s="50"/>
      <c r="GX44" s="50"/>
      <c r="GY44" s="50"/>
      <c r="GZ44" s="50"/>
      <c r="HA44" s="50"/>
      <c r="HB44" s="50"/>
      <c r="HC44" s="50"/>
      <c r="HD44" s="50"/>
      <c r="HE44" s="50"/>
      <c r="HF44" s="50"/>
      <c r="HG44" s="50"/>
      <c r="HH44" s="50"/>
      <c r="HI44" s="50"/>
      <c r="HJ44" s="50"/>
      <c r="HK44" s="50"/>
      <c r="HL44" s="50"/>
      <c r="HM44" s="50"/>
      <c r="HN44" s="50"/>
      <c r="HO44" s="50"/>
      <c r="HP44" s="50"/>
      <c r="HQ44" s="50"/>
      <c r="HR44" s="50"/>
      <c r="HS44" s="50"/>
      <c r="HT44" s="50"/>
      <c r="HU44" s="50"/>
      <c r="HV44" s="50"/>
      <c r="HW44" s="50"/>
      <c r="HX44" s="50"/>
      <c r="HY44" s="50"/>
      <c r="HZ44" s="50"/>
      <c r="IA44" s="50"/>
      <c r="IB44" s="50"/>
      <c r="IC44" s="50"/>
      <c r="ID44" s="50"/>
      <c r="IE44" s="50"/>
      <c r="IF44" s="50"/>
      <c r="IG44" s="50"/>
      <c r="IH44" s="50"/>
      <c r="II44" s="50"/>
      <c r="IJ44" s="50"/>
      <c r="IK44" s="50"/>
      <c r="IL44" s="50"/>
      <c r="IM44" s="50"/>
      <c r="IN44" s="50"/>
      <c r="IO44" s="50"/>
      <c r="IP44" s="50"/>
      <c r="IQ44" s="50"/>
      <c r="IR44" s="50"/>
      <c r="IS44" s="50"/>
      <c r="IT44" s="50"/>
      <c r="IU44" s="50"/>
      <c r="IV44" s="50"/>
    </row>
    <row r="45" spans="1:256" s="2" customFormat="1" ht="32.25" customHeight="1">
      <c r="A45" s="136" t="s">
        <v>1632</v>
      </c>
      <c r="B45" s="137" t="s">
        <v>1221</v>
      </c>
      <c r="C45" s="47">
        <f t="shared" si="1"/>
        <v>13821</v>
      </c>
      <c r="D45" s="252"/>
      <c r="E45" s="252"/>
      <c r="F45" s="252"/>
      <c r="G45" s="252"/>
      <c r="H45" s="252"/>
      <c r="I45" s="252"/>
      <c r="J45" s="47"/>
      <c r="K45" s="47"/>
      <c r="L45" s="47"/>
      <c r="M45" s="47">
        <f>+N45+O45</f>
        <v>13821</v>
      </c>
      <c r="N45" s="252">
        <f>+'PL 04'!W806</f>
        <v>13821</v>
      </c>
      <c r="O45" s="47"/>
      <c r="P45" s="47"/>
      <c r="Q45" s="47"/>
      <c r="R45" s="47"/>
      <c r="S45" s="116">
        <f t="shared" si="3"/>
        <v>0</v>
      </c>
      <c r="T45" s="275"/>
      <c r="U45" s="116">
        <f t="shared" si="4"/>
        <v>0</v>
      </c>
      <c r="V45" s="275"/>
      <c r="W45" s="275"/>
      <c r="X45" s="275"/>
      <c r="Y45" s="275"/>
      <c r="Z45" s="275"/>
      <c r="AA45" s="275"/>
      <c r="AB45" s="275"/>
      <c r="AC45" s="50"/>
      <c r="AD45" s="50"/>
      <c r="AE45" s="50"/>
      <c r="AF45" s="50"/>
      <c r="AG45" s="50"/>
      <c r="AH45" s="50"/>
      <c r="AI45" s="50"/>
      <c r="AJ45" s="50"/>
      <c r="AK45" s="50"/>
      <c r="AL45" s="50"/>
      <c r="AM45" s="50"/>
      <c r="AN45" s="50"/>
      <c r="AO45" s="50"/>
      <c r="AP45" s="50"/>
      <c r="AQ45" s="50"/>
      <c r="AR45" s="50"/>
      <c r="AS45" s="50"/>
      <c r="AT45" s="50"/>
      <c r="AU45" s="50"/>
      <c r="AV45" s="50"/>
      <c r="AW45" s="50"/>
      <c r="AX45" s="50"/>
      <c r="AY45" s="50"/>
      <c r="AZ45" s="50"/>
      <c r="BA45" s="50"/>
      <c r="BB45" s="50"/>
      <c r="BC45" s="50"/>
      <c r="BD45" s="50"/>
      <c r="BE45" s="50"/>
      <c r="BF45" s="50"/>
      <c r="BG45" s="50"/>
      <c r="BH45" s="50"/>
      <c r="BI45" s="50"/>
      <c r="BJ45" s="50"/>
      <c r="BK45" s="50"/>
      <c r="BL45" s="50"/>
      <c r="BM45" s="50"/>
      <c r="BN45" s="50"/>
      <c r="BO45" s="50"/>
      <c r="BP45" s="50"/>
      <c r="BQ45" s="50"/>
      <c r="BR45" s="50"/>
      <c r="BS45" s="50"/>
      <c r="BT45" s="50"/>
      <c r="BU45" s="50"/>
      <c r="BV45" s="50"/>
      <c r="BW45" s="50"/>
      <c r="BX45" s="50"/>
      <c r="BY45" s="50"/>
      <c r="BZ45" s="50"/>
      <c r="CA45" s="50"/>
      <c r="CB45" s="50"/>
      <c r="CC45" s="50"/>
      <c r="CD45" s="50"/>
      <c r="CE45" s="50"/>
      <c r="CF45" s="50"/>
      <c r="CG45" s="50"/>
      <c r="CH45" s="50"/>
      <c r="CI45" s="50"/>
      <c r="CJ45" s="50"/>
      <c r="CK45" s="50"/>
      <c r="CL45" s="50"/>
      <c r="CM45" s="50"/>
      <c r="CN45" s="50"/>
      <c r="CO45" s="50"/>
      <c r="CP45" s="50"/>
      <c r="CQ45" s="50"/>
      <c r="CR45" s="50"/>
      <c r="CS45" s="50"/>
      <c r="CT45" s="50"/>
      <c r="CU45" s="50"/>
      <c r="CV45" s="50"/>
      <c r="CW45" s="50"/>
      <c r="CX45" s="50"/>
      <c r="CY45" s="50"/>
      <c r="CZ45" s="50"/>
      <c r="DA45" s="50"/>
      <c r="DB45" s="50"/>
      <c r="DC45" s="50"/>
      <c r="DD45" s="50"/>
      <c r="DE45" s="50"/>
      <c r="DF45" s="50"/>
      <c r="DG45" s="50"/>
      <c r="DH45" s="50"/>
      <c r="DI45" s="50"/>
      <c r="DJ45" s="50"/>
      <c r="DK45" s="50"/>
      <c r="DL45" s="50"/>
      <c r="DM45" s="50"/>
      <c r="DN45" s="50"/>
      <c r="DO45" s="50"/>
      <c r="DP45" s="50"/>
      <c r="DQ45" s="50"/>
      <c r="DR45" s="50"/>
      <c r="DS45" s="50"/>
      <c r="DT45" s="50"/>
      <c r="DU45" s="50"/>
      <c r="DV45" s="50"/>
      <c r="DW45" s="50"/>
      <c r="DX45" s="50"/>
      <c r="DY45" s="50"/>
      <c r="DZ45" s="50"/>
      <c r="EA45" s="50"/>
      <c r="EB45" s="50"/>
      <c r="EC45" s="50"/>
      <c r="ED45" s="50"/>
      <c r="EE45" s="50"/>
      <c r="EF45" s="50"/>
      <c r="EG45" s="50"/>
      <c r="EH45" s="50"/>
      <c r="EI45" s="50"/>
      <c r="EJ45" s="50"/>
      <c r="EK45" s="50"/>
      <c r="EL45" s="50"/>
      <c r="EM45" s="50"/>
      <c r="EN45" s="50"/>
      <c r="EO45" s="50"/>
      <c r="EP45" s="50"/>
      <c r="EQ45" s="50"/>
      <c r="ER45" s="50"/>
      <c r="ES45" s="50"/>
      <c r="ET45" s="50"/>
      <c r="EU45" s="50"/>
      <c r="EV45" s="50"/>
      <c r="EW45" s="50"/>
      <c r="EX45" s="50"/>
      <c r="EY45" s="50"/>
      <c r="EZ45" s="50"/>
      <c r="FA45" s="50"/>
      <c r="FB45" s="50"/>
      <c r="FC45" s="50"/>
      <c r="FD45" s="50"/>
      <c r="FE45" s="50"/>
      <c r="FF45" s="50"/>
      <c r="FG45" s="50"/>
      <c r="FH45" s="50"/>
      <c r="FI45" s="50"/>
      <c r="FJ45" s="50"/>
      <c r="FK45" s="50"/>
      <c r="FL45" s="50"/>
      <c r="FM45" s="50"/>
      <c r="FN45" s="50"/>
      <c r="FO45" s="50"/>
      <c r="FP45" s="50"/>
      <c r="FQ45" s="50"/>
      <c r="FR45" s="50"/>
      <c r="FS45" s="50"/>
      <c r="FT45" s="50"/>
      <c r="FU45" s="50"/>
      <c r="FV45" s="50"/>
      <c r="FW45" s="50"/>
      <c r="FX45" s="50"/>
      <c r="FY45" s="50"/>
      <c r="FZ45" s="50"/>
      <c r="GA45" s="50"/>
      <c r="GB45" s="50"/>
      <c r="GC45" s="50"/>
      <c r="GD45" s="50"/>
      <c r="GE45" s="50"/>
      <c r="GF45" s="50"/>
      <c r="GG45" s="50"/>
      <c r="GH45" s="50"/>
      <c r="GI45" s="50"/>
      <c r="GJ45" s="50"/>
      <c r="GK45" s="50"/>
      <c r="GL45" s="50"/>
      <c r="GM45" s="50"/>
      <c r="GN45" s="50"/>
      <c r="GO45" s="50"/>
      <c r="GP45" s="50"/>
      <c r="GQ45" s="50"/>
      <c r="GR45" s="50"/>
      <c r="GS45" s="50"/>
      <c r="GT45" s="50"/>
      <c r="GU45" s="50"/>
      <c r="GV45" s="50"/>
      <c r="GW45" s="50"/>
      <c r="GX45" s="50"/>
      <c r="GY45" s="50"/>
      <c r="GZ45" s="50"/>
      <c r="HA45" s="50"/>
      <c r="HB45" s="50"/>
      <c r="HC45" s="50"/>
      <c r="HD45" s="50"/>
      <c r="HE45" s="50"/>
      <c r="HF45" s="50"/>
      <c r="HG45" s="50"/>
      <c r="HH45" s="50"/>
      <c r="HI45" s="50"/>
      <c r="HJ45" s="50"/>
      <c r="HK45" s="50"/>
      <c r="HL45" s="50"/>
      <c r="HM45" s="50"/>
      <c r="HN45" s="50"/>
      <c r="HO45" s="50"/>
      <c r="HP45" s="50"/>
      <c r="HQ45" s="50"/>
      <c r="HR45" s="50"/>
      <c r="HS45" s="50"/>
      <c r="HT45" s="50"/>
      <c r="HU45" s="50"/>
      <c r="HV45" s="50"/>
      <c r="HW45" s="50"/>
      <c r="HX45" s="50"/>
      <c r="HY45" s="50"/>
      <c r="HZ45" s="50"/>
      <c r="IA45" s="50"/>
      <c r="IB45" s="50"/>
      <c r="IC45" s="50"/>
      <c r="ID45" s="50"/>
      <c r="IE45" s="50"/>
      <c r="IF45" s="50"/>
      <c r="IG45" s="50"/>
      <c r="IH45" s="50"/>
      <c r="II45" s="50"/>
      <c r="IJ45" s="50"/>
      <c r="IK45" s="50"/>
      <c r="IL45" s="50"/>
      <c r="IM45" s="50"/>
      <c r="IN45" s="50"/>
      <c r="IO45" s="50"/>
      <c r="IP45" s="50"/>
      <c r="IQ45" s="50"/>
      <c r="IR45" s="50"/>
      <c r="IS45" s="50"/>
      <c r="IT45" s="50"/>
      <c r="IU45" s="50"/>
      <c r="IV45" s="50"/>
    </row>
    <row r="46" spans="1:256" s="2" customFormat="1" ht="32.25" customHeight="1">
      <c r="A46" s="136" t="s">
        <v>1633</v>
      </c>
      <c r="B46" s="137" t="s">
        <v>845</v>
      </c>
      <c r="C46" s="47">
        <f t="shared" si="1"/>
        <v>42031</v>
      </c>
      <c r="D46" s="252">
        <f>+'PL 04'!W64</f>
        <v>15503</v>
      </c>
      <c r="E46" s="252"/>
      <c r="F46" s="252"/>
      <c r="G46" s="252"/>
      <c r="H46" s="252"/>
      <c r="I46" s="252"/>
      <c r="J46" s="47"/>
      <c r="K46" s="47"/>
      <c r="L46" s="47"/>
      <c r="M46" s="47">
        <f t="shared" ref="M46:M52" si="7">+N46+O46</f>
        <v>23403</v>
      </c>
      <c r="N46" s="252">
        <f>+'PL 04'!W736</f>
        <v>23403</v>
      </c>
      <c r="O46" s="47"/>
      <c r="P46" s="47">
        <f>+'PL 04'!W963</f>
        <v>3125</v>
      </c>
      <c r="Q46" s="47"/>
      <c r="R46" s="47"/>
      <c r="S46" s="116">
        <f t="shared" si="3"/>
        <v>0</v>
      </c>
      <c r="T46" s="275"/>
      <c r="U46" s="116">
        <f t="shared" si="4"/>
        <v>0</v>
      </c>
      <c r="V46" s="275"/>
      <c r="W46" s="275"/>
      <c r="X46" s="275"/>
      <c r="Y46" s="275"/>
      <c r="Z46" s="275"/>
      <c r="AA46" s="275"/>
      <c r="AB46" s="275"/>
      <c r="AC46" s="50"/>
      <c r="AD46" s="50"/>
      <c r="AE46" s="50"/>
      <c r="AF46" s="50"/>
      <c r="AG46" s="50"/>
      <c r="AH46" s="50"/>
      <c r="AI46" s="50"/>
      <c r="AJ46" s="50"/>
      <c r="AK46" s="50"/>
      <c r="AL46" s="50"/>
      <c r="AM46" s="50"/>
      <c r="AN46" s="50"/>
      <c r="AO46" s="50"/>
      <c r="AP46" s="50"/>
      <c r="AQ46" s="50"/>
      <c r="AR46" s="50"/>
      <c r="AS46" s="50"/>
      <c r="AT46" s="50"/>
      <c r="AU46" s="50"/>
      <c r="AV46" s="50"/>
      <c r="AW46" s="50"/>
      <c r="AX46" s="50"/>
      <c r="AY46" s="50"/>
      <c r="AZ46" s="50"/>
      <c r="BA46" s="50"/>
      <c r="BB46" s="50"/>
      <c r="BC46" s="50"/>
      <c r="BD46" s="50"/>
      <c r="BE46" s="50"/>
      <c r="BF46" s="50"/>
      <c r="BG46" s="50"/>
      <c r="BH46" s="50"/>
      <c r="BI46" s="50"/>
      <c r="BJ46" s="50"/>
      <c r="BK46" s="50"/>
      <c r="BL46" s="50"/>
      <c r="BM46" s="50"/>
      <c r="BN46" s="50"/>
      <c r="BO46" s="50"/>
      <c r="BP46" s="50"/>
      <c r="BQ46" s="50"/>
      <c r="BR46" s="50"/>
      <c r="BS46" s="50"/>
      <c r="BT46" s="50"/>
      <c r="BU46" s="50"/>
      <c r="BV46" s="50"/>
      <c r="BW46" s="50"/>
      <c r="BX46" s="50"/>
      <c r="BY46" s="50"/>
      <c r="BZ46" s="50"/>
      <c r="CA46" s="50"/>
      <c r="CB46" s="50"/>
      <c r="CC46" s="50"/>
      <c r="CD46" s="50"/>
      <c r="CE46" s="50"/>
      <c r="CF46" s="50"/>
      <c r="CG46" s="50"/>
      <c r="CH46" s="50"/>
      <c r="CI46" s="50"/>
      <c r="CJ46" s="50"/>
      <c r="CK46" s="50"/>
      <c r="CL46" s="50"/>
      <c r="CM46" s="50"/>
      <c r="CN46" s="50"/>
      <c r="CO46" s="50"/>
      <c r="CP46" s="50"/>
      <c r="CQ46" s="50"/>
      <c r="CR46" s="50"/>
      <c r="CS46" s="50"/>
      <c r="CT46" s="50"/>
      <c r="CU46" s="50"/>
      <c r="CV46" s="50"/>
      <c r="CW46" s="50"/>
      <c r="CX46" s="50"/>
      <c r="CY46" s="50"/>
      <c r="CZ46" s="50"/>
      <c r="DA46" s="50"/>
      <c r="DB46" s="50"/>
      <c r="DC46" s="50"/>
      <c r="DD46" s="50"/>
      <c r="DE46" s="50"/>
      <c r="DF46" s="50"/>
      <c r="DG46" s="50"/>
      <c r="DH46" s="50"/>
      <c r="DI46" s="50"/>
      <c r="DJ46" s="50"/>
      <c r="DK46" s="50"/>
      <c r="DL46" s="50"/>
      <c r="DM46" s="50"/>
      <c r="DN46" s="50"/>
      <c r="DO46" s="50"/>
      <c r="DP46" s="50"/>
      <c r="DQ46" s="50"/>
      <c r="DR46" s="50"/>
      <c r="DS46" s="50"/>
      <c r="DT46" s="50"/>
      <c r="DU46" s="50"/>
      <c r="DV46" s="50"/>
      <c r="DW46" s="50"/>
      <c r="DX46" s="50"/>
      <c r="DY46" s="50"/>
      <c r="DZ46" s="50"/>
      <c r="EA46" s="50"/>
      <c r="EB46" s="50"/>
      <c r="EC46" s="50"/>
      <c r="ED46" s="50"/>
      <c r="EE46" s="50"/>
      <c r="EF46" s="50"/>
      <c r="EG46" s="50"/>
      <c r="EH46" s="50"/>
      <c r="EI46" s="50"/>
      <c r="EJ46" s="50"/>
      <c r="EK46" s="50"/>
      <c r="EL46" s="50"/>
      <c r="EM46" s="50"/>
      <c r="EN46" s="50"/>
      <c r="EO46" s="50"/>
      <c r="EP46" s="50"/>
      <c r="EQ46" s="50"/>
      <c r="ER46" s="50"/>
      <c r="ES46" s="50"/>
      <c r="ET46" s="50"/>
      <c r="EU46" s="50"/>
      <c r="EV46" s="50"/>
      <c r="EW46" s="50"/>
      <c r="EX46" s="50"/>
      <c r="EY46" s="50"/>
      <c r="EZ46" s="50"/>
      <c r="FA46" s="50"/>
      <c r="FB46" s="50"/>
      <c r="FC46" s="50"/>
      <c r="FD46" s="50"/>
      <c r="FE46" s="50"/>
      <c r="FF46" s="50"/>
      <c r="FG46" s="50"/>
      <c r="FH46" s="50"/>
      <c r="FI46" s="50"/>
      <c r="FJ46" s="50"/>
      <c r="FK46" s="50"/>
      <c r="FL46" s="50"/>
      <c r="FM46" s="50"/>
      <c r="FN46" s="50"/>
      <c r="FO46" s="50"/>
      <c r="FP46" s="50"/>
      <c r="FQ46" s="50"/>
      <c r="FR46" s="50"/>
      <c r="FS46" s="50"/>
      <c r="FT46" s="50"/>
      <c r="FU46" s="50"/>
      <c r="FV46" s="50"/>
      <c r="FW46" s="50"/>
      <c r="FX46" s="50"/>
      <c r="FY46" s="50"/>
      <c r="FZ46" s="50"/>
      <c r="GA46" s="50"/>
      <c r="GB46" s="50"/>
      <c r="GC46" s="50"/>
      <c r="GD46" s="50"/>
      <c r="GE46" s="50"/>
      <c r="GF46" s="50"/>
      <c r="GG46" s="50"/>
      <c r="GH46" s="50"/>
      <c r="GI46" s="50"/>
      <c r="GJ46" s="50"/>
      <c r="GK46" s="50"/>
      <c r="GL46" s="50"/>
      <c r="GM46" s="50"/>
      <c r="GN46" s="50"/>
      <c r="GO46" s="50"/>
      <c r="GP46" s="50"/>
      <c r="GQ46" s="50"/>
      <c r="GR46" s="50"/>
      <c r="GS46" s="50"/>
      <c r="GT46" s="50"/>
      <c r="GU46" s="50"/>
      <c r="GV46" s="50"/>
      <c r="GW46" s="50"/>
      <c r="GX46" s="50"/>
      <c r="GY46" s="50"/>
      <c r="GZ46" s="50"/>
      <c r="HA46" s="50"/>
      <c r="HB46" s="50"/>
      <c r="HC46" s="50"/>
      <c r="HD46" s="50"/>
      <c r="HE46" s="50"/>
      <c r="HF46" s="50"/>
      <c r="HG46" s="50"/>
      <c r="HH46" s="50"/>
      <c r="HI46" s="50"/>
      <c r="HJ46" s="50"/>
      <c r="HK46" s="50"/>
      <c r="HL46" s="50"/>
      <c r="HM46" s="50"/>
      <c r="HN46" s="50"/>
      <c r="HO46" s="50"/>
      <c r="HP46" s="50"/>
      <c r="HQ46" s="50"/>
      <c r="HR46" s="50"/>
      <c r="HS46" s="50"/>
      <c r="HT46" s="50"/>
      <c r="HU46" s="50"/>
      <c r="HV46" s="50"/>
      <c r="HW46" s="50"/>
      <c r="HX46" s="50"/>
      <c r="HY46" s="50"/>
      <c r="HZ46" s="50"/>
      <c r="IA46" s="50"/>
      <c r="IB46" s="50"/>
      <c r="IC46" s="50"/>
      <c r="ID46" s="50"/>
      <c r="IE46" s="50"/>
      <c r="IF46" s="50"/>
      <c r="IG46" s="50"/>
      <c r="IH46" s="50"/>
      <c r="II46" s="50"/>
      <c r="IJ46" s="50"/>
      <c r="IK46" s="50"/>
      <c r="IL46" s="50"/>
      <c r="IM46" s="50"/>
      <c r="IN46" s="50"/>
      <c r="IO46" s="50"/>
      <c r="IP46" s="50"/>
      <c r="IQ46" s="50"/>
      <c r="IR46" s="50"/>
      <c r="IS46" s="50"/>
      <c r="IT46" s="50"/>
      <c r="IU46" s="50"/>
      <c r="IV46" s="50"/>
    </row>
    <row r="47" spans="1:256" s="2" customFormat="1" ht="32.25" customHeight="1">
      <c r="A47" s="136" t="s">
        <v>1634</v>
      </c>
      <c r="B47" s="137" t="s">
        <v>1222</v>
      </c>
      <c r="C47" s="47">
        <f t="shared" si="1"/>
        <v>83707.776000000013</v>
      </c>
      <c r="D47" s="252">
        <f>+'PL 04'!W84</f>
        <v>934</v>
      </c>
      <c r="E47" s="252"/>
      <c r="F47" s="252"/>
      <c r="G47" s="252">
        <f>+'PL 04'!W174</f>
        <v>99.997</v>
      </c>
      <c r="H47" s="252"/>
      <c r="I47" s="252">
        <f>+'PL 04'!W250</f>
        <v>13000</v>
      </c>
      <c r="J47" s="47"/>
      <c r="K47" s="47"/>
      <c r="L47" s="47"/>
      <c r="M47" s="47">
        <f t="shared" si="7"/>
        <v>69673.77900000001</v>
      </c>
      <c r="N47" s="252">
        <f>+'PL 04'!W621+'PL 03'!W70</f>
        <v>69673.77900000001</v>
      </c>
      <c r="O47" s="47"/>
      <c r="P47" s="47"/>
      <c r="Q47" s="47"/>
      <c r="R47" s="47"/>
      <c r="S47" s="116">
        <f t="shared" si="3"/>
        <v>0</v>
      </c>
      <c r="T47" s="275"/>
      <c r="U47" s="116">
        <f t="shared" si="4"/>
        <v>0</v>
      </c>
      <c r="V47" s="275"/>
      <c r="W47" s="275"/>
      <c r="X47" s="275"/>
      <c r="Y47" s="275"/>
      <c r="Z47" s="275"/>
      <c r="AA47" s="275"/>
      <c r="AB47" s="275"/>
      <c r="AC47" s="50"/>
      <c r="AD47" s="50"/>
      <c r="AE47" s="50"/>
      <c r="AF47" s="50"/>
      <c r="AG47" s="50"/>
      <c r="AH47" s="50"/>
      <c r="AI47" s="50"/>
      <c r="AJ47" s="50"/>
      <c r="AK47" s="50"/>
      <c r="AL47" s="50"/>
      <c r="AM47" s="50"/>
      <c r="AN47" s="50"/>
      <c r="AO47" s="50"/>
      <c r="AP47" s="50"/>
      <c r="AQ47" s="50"/>
      <c r="AR47" s="50"/>
      <c r="AS47" s="50"/>
      <c r="AT47" s="50"/>
      <c r="AU47" s="50"/>
      <c r="AV47" s="50"/>
      <c r="AW47" s="50"/>
      <c r="AX47" s="50"/>
      <c r="AY47" s="50"/>
      <c r="AZ47" s="50"/>
      <c r="BA47" s="50"/>
      <c r="BB47" s="50"/>
      <c r="BC47" s="50"/>
      <c r="BD47" s="50"/>
      <c r="BE47" s="50"/>
      <c r="BF47" s="50"/>
      <c r="BG47" s="50"/>
      <c r="BH47" s="50"/>
      <c r="BI47" s="50"/>
      <c r="BJ47" s="50"/>
      <c r="BK47" s="50"/>
      <c r="BL47" s="50"/>
      <c r="BM47" s="50"/>
      <c r="BN47" s="50"/>
      <c r="BO47" s="50"/>
      <c r="BP47" s="50"/>
      <c r="BQ47" s="50"/>
      <c r="BR47" s="50"/>
      <c r="BS47" s="50"/>
      <c r="BT47" s="50"/>
      <c r="BU47" s="50"/>
      <c r="BV47" s="50"/>
      <c r="BW47" s="50"/>
      <c r="BX47" s="50"/>
      <c r="BY47" s="50"/>
      <c r="BZ47" s="50"/>
      <c r="CA47" s="50"/>
      <c r="CB47" s="50"/>
      <c r="CC47" s="50"/>
      <c r="CD47" s="50"/>
      <c r="CE47" s="50"/>
      <c r="CF47" s="50"/>
      <c r="CG47" s="50"/>
      <c r="CH47" s="50"/>
      <c r="CI47" s="50"/>
      <c r="CJ47" s="50"/>
      <c r="CK47" s="50"/>
      <c r="CL47" s="50"/>
      <c r="CM47" s="50"/>
      <c r="CN47" s="50"/>
      <c r="CO47" s="50"/>
      <c r="CP47" s="50"/>
      <c r="CQ47" s="50"/>
      <c r="CR47" s="50"/>
      <c r="CS47" s="50"/>
      <c r="CT47" s="50"/>
      <c r="CU47" s="50"/>
      <c r="CV47" s="50"/>
      <c r="CW47" s="50"/>
      <c r="CX47" s="50"/>
      <c r="CY47" s="50"/>
      <c r="CZ47" s="50"/>
      <c r="DA47" s="50"/>
      <c r="DB47" s="50"/>
      <c r="DC47" s="50"/>
      <c r="DD47" s="50"/>
      <c r="DE47" s="50"/>
      <c r="DF47" s="50"/>
      <c r="DG47" s="50"/>
      <c r="DH47" s="50"/>
      <c r="DI47" s="50"/>
      <c r="DJ47" s="50"/>
      <c r="DK47" s="50"/>
      <c r="DL47" s="50"/>
      <c r="DM47" s="50"/>
      <c r="DN47" s="50"/>
      <c r="DO47" s="50"/>
      <c r="DP47" s="50"/>
      <c r="DQ47" s="50"/>
      <c r="DR47" s="50"/>
      <c r="DS47" s="50"/>
      <c r="DT47" s="50"/>
      <c r="DU47" s="50"/>
      <c r="DV47" s="50"/>
      <c r="DW47" s="50"/>
      <c r="DX47" s="50"/>
      <c r="DY47" s="50"/>
      <c r="DZ47" s="50"/>
      <c r="EA47" s="50"/>
      <c r="EB47" s="50"/>
      <c r="EC47" s="50"/>
      <c r="ED47" s="50"/>
      <c r="EE47" s="50"/>
      <c r="EF47" s="50"/>
      <c r="EG47" s="50"/>
      <c r="EH47" s="50"/>
      <c r="EI47" s="50"/>
      <c r="EJ47" s="50"/>
      <c r="EK47" s="50"/>
      <c r="EL47" s="50"/>
      <c r="EM47" s="50"/>
      <c r="EN47" s="50"/>
      <c r="EO47" s="50"/>
      <c r="EP47" s="50"/>
      <c r="EQ47" s="50"/>
      <c r="ER47" s="50"/>
      <c r="ES47" s="50"/>
      <c r="ET47" s="50"/>
      <c r="EU47" s="50"/>
      <c r="EV47" s="50"/>
      <c r="EW47" s="50"/>
      <c r="EX47" s="50"/>
      <c r="EY47" s="50"/>
      <c r="EZ47" s="50"/>
      <c r="FA47" s="50"/>
      <c r="FB47" s="50"/>
      <c r="FC47" s="50"/>
      <c r="FD47" s="50"/>
      <c r="FE47" s="50"/>
      <c r="FF47" s="50"/>
      <c r="FG47" s="50"/>
      <c r="FH47" s="50"/>
      <c r="FI47" s="50"/>
      <c r="FJ47" s="50"/>
      <c r="FK47" s="50"/>
      <c r="FL47" s="50"/>
      <c r="FM47" s="50"/>
      <c r="FN47" s="50"/>
      <c r="FO47" s="50"/>
      <c r="FP47" s="50"/>
      <c r="FQ47" s="50"/>
      <c r="FR47" s="50"/>
      <c r="FS47" s="50"/>
      <c r="FT47" s="50"/>
      <c r="FU47" s="50"/>
      <c r="FV47" s="50"/>
      <c r="FW47" s="50"/>
      <c r="FX47" s="50"/>
      <c r="FY47" s="50"/>
      <c r="FZ47" s="50"/>
      <c r="GA47" s="50"/>
      <c r="GB47" s="50"/>
      <c r="GC47" s="50"/>
      <c r="GD47" s="50"/>
      <c r="GE47" s="50"/>
      <c r="GF47" s="50"/>
      <c r="GG47" s="50"/>
      <c r="GH47" s="50"/>
      <c r="GI47" s="50"/>
      <c r="GJ47" s="50"/>
      <c r="GK47" s="50"/>
      <c r="GL47" s="50"/>
      <c r="GM47" s="50"/>
      <c r="GN47" s="50"/>
      <c r="GO47" s="50"/>
      <c r="GP47" s="50"/>
      <c r="GQ47" s="50"/>
      <c r="GR47" s="50"/>
      <c r="GS47" s="50"/>
      <c r="GT47" s="50"/>
      <c r="GU47" s="50"/>
      <c r="GV47" s="50"/>
      <c r="GW47" s="50"/>
      <c r="GX47" s="50"/>
      <c r="GY47" s="50"/>
      <c r="GZ47" s="50"/>
      <c r="HA47" s="50"/>
      <c r="HB47" s="50"/>
      <c r="HC47" s="50"/>
      <c r="HD47" s="50"/>
      <c r="HE47" s="50"/>
      <c r="HF47" s="50"/>
      <c r="HG47" s="50"/>
      <c r="HH47" s="50"/>
      <c r="HI47" s="50"/>
      <c r="HJ47" s="50"/>
      <c r="HK47" s="50"/>
      <c r="HL47" s="50"/>
      <c r="HM47" s="50"/>
      <c r="HN47" s="50"/>
      <c r="HO47" s="50"/>
      <c r="HP47" s="50"/>
      <c r="HQ47" s="50"/>
      <c r="HR47" s="50"/>
      <c r="HS47" s="50"/>
      <c r="HT47" s="50"/>
      <c r="HU47" s="50"/>
      <c r="HV47" s="50"/>
      <c r="HW47" s="50"/>
      <c r="HX47" s="50"/>
      <c r="HY47" s="50"/>
      <c r="HZ47" s="50"/>
      <c r="IA47" s="50"/>
      <c r="IB47" s="50"/>
      <c r="IC47" s="50"/>
      <c r="ID47" s="50"/>
      <c r="IE47" s="50"/>
      <c r="IF47" s="50"/>
      <c r="IG47" s="50"/>
      <c r="IH47" s="50"/>
      <c r="II47" s="50"/>
      <c r="IJ47" s="50"/>
      <c r="IK47" s="50"/>
      <c r="IL47" s="50"/>
      <c r="IM47" s="50"/>
      <c r="IN47" s="50"/>
      <c r="IO47" s="50"/>
      <c r="IP47" s="50"/>
      <c r="IQ47" s="50"/>
      <c r="IR47" s="50"/>
      <c r="IS47" s="50"/>
      <c r="IT47" s="50"/>
      <c r="IU47" s="50"/>
      <c r="IV47" s="50"/>
    </row>
    <row r="48" spans="1:256" s="2" customFormat="1" ht="32.25" customHeight="1">
      <c r="A48" s="136" t="s">
        <v>1635</v>
      </c>
      <c r="B48" s="137" t="s">
        <v>1223</v>
      </c>
      <c r="C48" s="47">
        <f t="shared" si="1"/>
        <v>60738.427000000003</v>
      </c>
      <c r="D48" s="252"/>
      <c r="E48" s="252"/>
      <c r="F48" s="252"/>
      <c r="G48" s="252"/>
      <c r="H48" s="252"/>
      <c r="I48" s="252"/>
      <c r="J48" s="47"/>
      <c r="K48" s="47"/>
      <c r="L48" s="47"/>
      <c r="M48" s="47">
        <f t="shared" si="7"/>
        <v>60502</v>
      </c>
      <c r="N48" s="252">
        <f>+'PL 04'!W754</f>
        <v>60502</v>
      </c>
      <c r="O48" s="47"/>
      <c r="P48" s="47">
        <f>+'PL 04'!W972</f>
        <v>236.42700000000332</v>
      </c>
      <c r="Q48" s="47"/>
      <c r="R48" s="47"/>
      <c r="S48" s="116">
        <f t="shared" si="3"/>
        <v>0</v>
      </c>
      <c r="T48" s="275"/>
      <c r="U48" s="116">
        <f t="shared" si="4"/>
        <v>0</v>
      </c>
      <c r="V48" s="275"/>
      <c r="W48" s="275"/>
      <c r="X48" s="275"/>
      <c r="Y48" s="275"/>
      <c r="Z48" s="275"/>
      <c r="AA48" s="275"/>
      <c r="AB48" s="275"/>
      <c r="AC48" s="50"/>
      <c r="AD48" s="50"/>
      <c r="AE48" s="50"/>
      <c r="AF48" s="50"/>
      <c r="AG48" s="50"/>
      <c r="AH48" s="50"/>
      <c r="AI48" s="50"/>
      <c r="AJ48" s="50"/>
      <c r="AK48" s="50"/>
      <c r="AL48" s="50"/>
      <c r="AM48" s="50"/>
      <c r="AN48" s="50"/>
      <c r="AO48" s="50"/>
      <c r="AP48" s="50"/>
      <c r="AQ48" s="50"/>
      <c r="AR48" s="50"/>
      <c r="AS48" s="50"/>
      <c r="AT48" s="50"/>
      <c r="AU48" s="50"/>
      <c r="AV48" s="50"/>
      <c r="AW48" s="50"/>
      <c r="AX48" s="50"/>
      <c r="AY48" s="50"/>
      <c r="AZ48" s="50"/>
      <c r="BA48" s="50"/>
      <c r="BB48" s="50"/>
      <c r="BC48" s="50"/>
      <c r="BD48" s="50"/>
      <c r="BE48" s="50"/>
      <c r="BF48" s="50"/>
      <c r="BG48" s="50"/>
      <c r="BH48" s="50"/>
      <c r="BI48" s="50"/>
      <c r="BJ48" s="50"/>
      <c r="BK48" s="50"/>
      <c r="BL48" s="50"/>
      <c r="BM48" s="50"/>
      <c r="BN48" s="50"/>
      <c r="BO48" s="50"/>
      <c r="BP48" s="50"/>
      <c r="BQ48" s="50"/>
      <c r="BR48" s="50"/>
      <c r="BS48" s="50"/>
      <c r="BT48" s="50"/>
      <c r="BU48" s="50"/>
      <c r="BV48" s="50"/>
      <c r="BW48" s="50"/>
      <c r="BX48" s="50"/>
      <c r="BY48" s="50"/>
      <c r="BZ48" s="50"/>
      <c r="CA48" s="50"/>
      <c r="CB48" s="50"/>
      <c r="CC48" s="50"/>
      <c r="CD48" s="50"/>
      <c r="CE48" s="50"/>
      <c r="CF48" s="50"/>
      <c r="CG48" s="50"/>
      <c r="CH48" s="50"/>
      <c r="CI48" s="50"/>
      <c r="CJ48" s="50"/>
      <c r="CK48" s="50"/>
      <c r="CL48" s="50"/>
      <c r="CM48" s="50"/>
      <c r="CN48" s="50"/>
      <c r="CO48" s="50"/>
      <c r="CP48" s="50"/>
      <c r="CQ48" s="50"/>
      <c r="CR48" s="50"/>
      <c r="CS48" s="50"/>
      <c r="CT48" s="50"/>
      <c r="CU48" s="50"/>
      <c r="CV48" s="50"/>
      <c r="CW48" s="50"/>
      <c r="CX48" s="50"/>
      <c r="CY48" s="50"/>
      <c r="CZ48" s="50"/>
      <c r="DA48" s="50"/>
      <c r="DB48" s="50"/>
      <c r="DC48" s="50"/>
      <c r="DD48" s="50"/>
      <c r="DE48" s="50"/>
      <c r="DF48" s="50"/>
      <c r="DG48" s="50"/>
      <c r="DH48" s="50"/>
      <c r="DI48" s="50"/>
      <c r="DJ48" s="50"/>
      <c r="DK48" s="50"/>
      <c r="DL48" s="50"/>
      <c r="DM48" s="50"/>
      <c r="DN48" s="50"/>
      <c r="DO48" s="50"/>
      <c r="DP48" s="50"/>
      <c r="DQ48" s="50"/>
      <c r="DR48" s="50"/>
      <c r="DS48" s="50"/>
      <c r="DT48" s="50"/>
      <c r="DU48" s="50"/>
      <c r="DV48" s="50"/>
      <c r="DW48" s="50"/>
      <c r="DX48" s="50"/>
      <c r="DY48" s="50"/>
      <c r="DZ48" s="50"/>
      <c r="EA48" s="50"/>
      <c r="EB48" s="50"/>
      <c r="EC48" s="50"/>
      <c r="ED48" s="50"/>
      <c r="EE48" s="50"/>
      <c r="EF48" s="50"/>
      <c r="EG48" s="50"/>
      <c r="EH48" s="50"/>
      <c r="EI48" s="50"/>
      <c r="EJ48" s="50"/>
      <c r="EK48" s="50"/>
      <c r="EL48" s="50"/>
      <c r="EM48" s="50"/>
      <c r="EN48" s="50"/>
      <c r="EO48" s="50"/>
      <c r="EP48" s="50"/>
      <c r="EQ48" s="50"/>
      <c r="ER48" s="50"/>
      <c r="ES48" s="50"/>
      <c r="ET48" s="50"/>
      <c r="EU48" s="50"/>
      <c r="EV48" s="50"/>
      <c r="EW48" s="50"/>
      <c r="EX48" s="50"/>
      <c r="EY48" s="50"/>
      <c r="EZ48" s="50"/>
      <c r="FA48" s="50"/>
      <c r="FB48" s="50"/>
      <c r="FC48" s="50"/>
      <c r="FD48" s="50"/>
      <c r="FE48" s="50"/>
      <c r="FF48" s="50"/>
      <c r="FG48" s="50"/>
      <c r="FH48" s="50"/>
      <c r="FI48" s="50"/>
      <c r="FJ48" s="50"/>
      <c r="FK48" s="50"/>
      <c r="FL48" s="50"/>
      <c r="FM48" s="50"/>
      <c r="FN48" s="50"/>
      <c r="FO48" s="50"/>
      <c r="FP48" s="50"/>
      <c r="FQ48" s="50"/>
      <c r="FR48" s="50"/>
      <c r="FS48" s="50"/>
      <c r="FT48" s="50"/>
      <c r="FU48" s="50"/>
      <c r="FV48" s="50"/>
      <c r="FW48" s="50"/>
      <c r="FX48" s="50"/>
      <c r="FY48" s="50"/>
      <c r="FZ48" s="50"/>
      <c r="GA48" s="50"/>
      <c r="GB48" s="50"/>
      <c r="GC48" s="50"/>
      <c r="GD48" s="50"/>
      <c r="GE48" s="50"/>
      <c r="GF48" s="50"/>
      <c r="GG48" s="50"/>
      <c r="GH48" s="50"/>
      <c r="GI48" s="50"/>
      <c r="GJ48" s="50"/>
      <c r="GK48" s="50"/>
      <c r="GL48" s="50"/>
      <c r="GM48" s="50"/>
      <c r="GN48" s="50"/>
      <c r="GO48" s="50"/>
      <c r="GP48" s="50"/>
      <c r="GQ48" s="50"/>
      <c r="GR48" s="50"/>
      <c r="GS48" s="50"/>
      <c r="GT48" s="50"/>
      <c r="GU48" s="50"/>
      <c r="GV48" s="50"/>
      <c r="GW48" s="50"/>
      <c r="GX48" s="50"/>
      <c r="GY48" s="50"/>
      <c r="GZ48" s="50"/>
      <c r="HA48" s="50"/>
      <c r="HB48" s="50"/>
      <c r="HC48" s="50"/>
      <c r="HD48" s="50"/>
      <c r="HE48" s="50"/>
      <c r="HF48" s="50"/>
      <c r="HG48" s="50"/>
      <c r="HH48" s="50"/>
      <c r="HI48" s="50"/>
      <c r="HJ48" s="50"/>
      <c r="HK48" s="50"/>
      <c r="HL48" s="50"/>
      <c r="HM48" s="50"/>
      <c r="HN48" s="50"/>
      <c r="HO48" s="50"/>
      <c r="HP48" s="50"/>
      <c r="HQ48" s="50"/>
      <c r="HR48" s="50"/>
      <c r="HS48" s="50"/>
      <c r="HT48" s="50"/>
      <c r="HU48" s="50"/>
      <c r="HV48" s="50"/>
      <c r="HW48" s="50"/>
      <c r="HX48" s="50"/>
      <c r="HY48" s="50"/>
      <c r="HZ48" s="50"/>
      <c r="IA48" s="50"/>
      <c r="IB48" s="50"/>
      <c r="IC48" s="50"/>
      <c r="ID48" s="50"/>
      <c r="IE48" s="50"/>
      <c r="IF48" s="50"/>
      <c r="IG48" s="50"/>
      <c r="IH48" s="50"/>
      <c r="II48" s="50"/>
      <c r="IJ48" s="50"/>
      <c r="IK48" s="50"/>
      <c r="IL48" s="50"/>
      <c r="IM48" s="50"/>
      <c r="IN48" s="50"/>
      <c r="IO48" s="50"/>
      <c r="IP48" s="50"/>
      <c r="IQ48" s="50"/>
      <c r="IR48" s="50"/>
      <c r="IS48" s="50"/>
      <c r="IT48" s="50"/>
      <c r="IU48" s="50"/>
      <c r="IV48" s="50"/>
    </row>
    <row r="49" spans="1:256" s="2" customFormat="1" ht="32.25" customHeight="1">
      <c r="A49" s="136" t="s">
        <v>1636</v>
      </c>
      <c r="B49" s="137" t="s">
        <v>1224</v>
      </c>
      <c r="C49" s="47">
        <f t="shared" si="1"/>
        <v>38882.728000000003</v>
      </c>
      <c r="D49" s="252">
        <f>+'PL 04'!W101</f>
        <v>4987</v>
      </c>
      <c r="E49" s="252"/>
      <c r="F49" s="252"/>
      <c r="G49" s="252"/>
      <c r="H49" s="252"/>
      <c r="I49" s="252">
        <f>+'PL 04'!W277</f>
        <v>500</v>
      </c>
      <c r="J49" s="47"/>
      <c r="K49" s="47"/>
      <c r="L49" s="47"/>
      <c r="M49" s="47">
        <f>+N49+O49+'PL 04'!W935</f>
        <v>33395.728000000003</v>
      </c>
      <c r="N49" s="252">
        <f>+'PL 04'!W745</f>
        <v>27895.727999999999</v>
      </c>
      <c r="O49" s="47">
        <f>+'PL 04'!W576</f>
        <v>4800</v>
      </c>
      <c r="P49" s="47"/>
      <c r="Q49" s="47"/>
      <c r="R49" s="47"/>
      <c r="S49" s="116">
        <f t="shared" si="3"/>
        <v>700.00000000000364</v>
      </c>
      <c r="T49" s="275"/>
      <c r="U49" s="116">
        <f t="shared" si="4"/>
        <v>700.00000000000364</v>
      </c>
      <c r="V49" s="275"/>
      <c r="W49" s="275"/>
      <c r="X49" s="275"/>
      <c r="Y49" s="275"/>
      <c r="Z49" s="275"/>
      <c r="AA49" s="275"/>
      <c r="AB49" s="275"/>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50"/>
      <c r="BD49" s="50"/>
      <c r="BE49" s="50"/>
      <c r="BF49" s="50"/>
      <c r="BG49" s="50"/>
      <c r="BH49" s="50"/>
      <c r="BI49" s="50"/>
      <c r="BJ49" s="50"/>
      <c r="BK49" s="50"/>
      <c r="BL49" s="50"/>
      <c r="BM49" s="50"/>
      <c r="BN49" s="50"/>
      <c r="BO49" s="50"/>
      <c r="BP49" s="50"/>
      <c r="BQ49" s="50"/>
      <c r="BR49" s="50"/>
      <c r="BS49" s="50"/>
      <c r="BT49" s="50"/>
      <c r="BU49" s="50"/>
      <c r="BV49" s="50"/>
      <c r="BW49" s="50"/>
      <c r="BX49" s="50"/>
      <c r="BY49" s="50"/>
      <c r="BZ49" s="50"/>
      <c r="CA49" s="50"/>
      <c r="CB49" s="50"/>
      <c r="CC49" s="50"/>
      <c r="CD49" s="50"/>
      <c r="CE49" s="50"/>
      <c r="CF49" s="50"/>
      <c r="CG49" s="50"/>
      <c r="CH49" s="50"/>
      <c r="CI49" s="50"/>
      <c r="CJ49" s="50"/>
      <c r="CK49" s="50"/>
      <c r="CL49" s="50"/>
      <c r="CM49" s="50"/>
      <c r="CN49" s="50"/>
      <c r="CO49" s="50"/>
      <c r="CP49" s="50"/>
      <c r="CQ49" s="50"/>
      <c r="CR49" s="50"/>
      <c r="CS49" s="50"/>
      <c r="CT49" s="50"/>
      <c r="CU49" s="50"/>
      <c r="CV49" s="50"/>
      <c r="CW49" s="50"/>
      <c r="CX49" s="50"/>
      <c r="CY49" s="50"/>
      <c r="CZ49" s="50"/>
      <c r="DA49" s="50"/>
      <c r="DB49" s="50"/>
      <c r="DC49" s="50"/>
      <c r="DD49" s="50"/>
      <c r="DE49" s="50"/>
      <c r="DF49" s="50"/>
      <c r="DG49" s="50"/>
      <c r="DH49" s="50"/>
      <c r="DI49" s="50"/>
      <c r="DJ49" s="50"/>
      <c r="DK49" s="50"/>
      <c r="DL49" s="50"/>
      <c r="DM49" s="50"/>
      <c r="DN49" s="50"/>
      <c r="DO49" s="50"/>
      <c r="DP49" s="50"/>
      <c r="DQ49" s="50"/>
      <c r="DR49" s="50"/>
      <c r="DS49" s="50"/>
      <c r="DT49" s="50"/>
      <c r="DU49" s="50"/>
      <c r="DV49" s="50"/>
      <c r="DW49" s="50"/>
      <c r="DX49" s="50"/>
      <c r="DY49" s="50"/>
      <c r="DZ49" s="50"/>
      <c r="EA49" s="50"/>
      <c r="EB49" s="50"/>
      <c r="EC49" s="50"/>
      <c r="ED49" s="50"/>
      <c r="EE49" s="50"/>
      <c r="EF49" s="50"/>
      <c r="EG49" s="50"/>
      <c r="EH49" s="50"/>
      <c r="EI49" s="50"/>
      <c r="EJ49" s="50"/>
      <c r="EK49" s="50"/>
      <c r="EL49" s="50"/>
      <c r="EM49" s="50"/>
      <c r="EN49" s="50"/>
      <c r="EO49" s="50"/>
      <c r="EP49" s="50"/>
      <c r="EQ49" s="50"/>
      <c r="ER49" s="50"/>
      <c r="ES49" s="50"/>
      <c r="ET49" s="50"/>
      <c r="EU49" s="50"/>
      <c r="EV49" s="50"/>
      <c r="EW49" s="50"/>
      <c r="EX49" s="50"/>
      <c r="EY49" s="50"/>
      <c r="EZ49" s="50"/>
      <c r="FA49" s="50"/>
      <c r="FB49" s="50"/>
      <c r="FC49" s="50"/>
      <c r="FD49" s="50"/>
      <c r="FE49" s="50"/>
      <c r="FF49" s="50"/>
      <c r="FG49" s="50"/>
      <c r="FH49" s="50"/>
      <c r="FI49" s="50"/>
      <c r="FJ49" s="50"/>
      <c r="FK49" s="50"/>
      <c r="FL49" s="50"/>
      <c r="FM49" s="50"/>
      <c r="FN49" s="50"/>
      <c r="FO49" s="50"/>
      <c r="FP49" s="50"/>
      <c r="FQ49" s="50"/>
      <c r="FR49" s="50"/>
      <c r="FS49" s="50"/>
      <c r="FT49" s="50"/>
      <c r="FU49" s="50"/>
      <c r="FV49" s="50"/>
      <c r="FW49" s="50"/>
      <c r="FX49" s="50"/>
      <c r="FY49" s="50"/>
      <c r="FZ49" s="50"/>
      <c r="GA49" s="50"/>
      <c r="GB49" s="50"/>
      <c r="GC49" s="50"/>
      <c r="GD49" s="50"/>
      <c r="GE49" s="50"/>
      <c r="GF49" s="50"/>
      <c r="GG49" s="50"/>
      <c r="GH49" s="50"/>
      <c r="GI49" s="50"/>
      <c r="GJ49" s="50"/>
      <c r="GK49" s="50"/>
      <c r="GL49" s="50"/>
      <c r="GM49" s="50"/>
      <c r="GN49" s="50"/>
      <c r="GO49" s="50"/>
      <c r="GP49" s="50"/>
      <c r="GQ49" s="50"/>
      <c r="GR49" s="50"/>
      <c r="GS49" s="50"/>
      <c r="GT49" s="50"/>
      <c r="GU49" s="50"/>
      <c r="GV49" s="50"/>
      <c r="GW49" s="50"/>
      <c r="GX49" s="50"/>
      <c r="GY49" s="50"/>
      <c r="GZ49" s="50"/>
      <c r="HA49" s="50"/>
      <c r="HB49" s="50"/>
      <c r="HC49" s="50"/>
      <c r="HD49" s="50"/>
      <c r="HE49" s="50"/>
      <c r="HF49" s="50"/>
      <c r="HG49" s="50"/>
      <c r="HH49" s="50"/>
      <c r="HI49" s="50"/>
      <c r="HJ49" s="50"/>
      <c r="HK49" s="50"/>
      <c r="HL49" s="50"/>
      <c r="HM49" s="50"/>
      <c r="HN49" s="50"/>
      <c r="HO49" s="50"/>
      <c r="HP49" s="50"/>
      <c r="HQ49" s="50"/>
      <c r="HR49" s="50"/>
      <c r="HS49" s="50"/>
      <c r="HT49" s="50"/>
      <c r="HU49" s="50"/>
      <c r="HV49" s="50"/>
      <c r="HW49" s="50"/>
      <c r="HX49" s="50"/>
      <c r="HY49" s="50"/>
      <c r="HZ49" s="50"/>
      <c r="IA49" s="50"/>
      <c r="IB49" s="50"/>
      <c r="IC49" s="50"/>
      <c r="ID49" s="50"/>
      <c r="IE49" s="50"/>
      <c r="IF49" s="50"/>
      <c r="IG49" s="50"/>
      <c r="IH49" s="50"/>
      <c r="II49" s="50"/>
      <c r="IJ49" s="50"/>
      <c r="IK49" s="50"/>
      <c r="IL49" s="50"/>
      <c r="IM49" s="50"/>
      <c r="IN49" s="50"/>
      <c r="IO49" s="50"/>
      <c r="IP49" s="50"/>
      <c r="IQ49" s="50"/>
      <c r="IR49" s="50"/>
      <c r="IS49" s="50"/>
      <c r="IT49" s="50"/>
      <c r="IU49" s="50"/>
      <c r="IV49" s="50"/>
    </row>
    <row r="50" spans="1:256" s="2" customFormat="1" ht="32.25" customHeight="1">
      <c r="A50" s="136" t="s">
        <v>1637</v>
      </c>
      <c r="B50" s="137" t="s">
        <v>1151</v>
      </c>
      <c r="C50" s="47">
        <f t="shared" si="1"/>
        <v>15275.4</v>
      </c>
      <c r="D50" s="252"/>
      <c r="E50" s="252"/>
      <c r="F50" s="252"/>
      <c r="G50" s="252"/>
      <c r="H50" s="252"/>
      <c r="I50" s="252">
        <f>+'PL 04'!W244</f>
        <v>15275.4</v>
      </c>
      <c r="J50" s="47"/>
      <c r="K50" s="47"/>
      <c r="L50" s="47"/>
      <c r="M50" s="47">
        <f t="shared" si="7"/>
        <v>0</v>
      </c>
      <c r="N50" s="252"/>
      <c r="O50" s="47"/>
      <c r="P50" s="47"/>
      <c r="Q50" s="47"/>
      <c r="R50" s="47"/>
      <c r="S50" s="116">
        <f t="shared" si="3"/>
        <v>0</v>
      </c>
      <c r="T50" s="275"/>
      <c r="U50" s="116">
        <f t="shared" si="4"/>
        <v>0</v>
      </c>
      <c r="V50" s="275"/>
      <c r="W50" s="275"/>
      <c r="X50" s="275"/>
      <c r="Y50" s="275"/>
      <c r="Z50" s="275"/>
      <c r="AA50" s="275"/>
      <c r="AB50" s="275"/>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50"/>
      <c r="BD50" s="50"/>
      <c r="BE50" s="50"/>
      <c r="BF50" s="50"/>
      <c r="BG50" s="50"/>
      <c r="BH50" s="50"/>
      <c r="BI50" s="50"/>
      <c r="BJ50" s="50"/>
      <c r="BK50" s="50"/>
      <c r="BL50" s="50"/>
      <c r="BM50" s="50"/>
      <c r="BN50" s="50"/>
      <c r="BO50" s="50"/>
      <c r="BP50" s="50"/>
      <c r="BQ50" s="50"/>
      <c r="BR50" s="50"/>
      <c r="BS50" s="50"/>
      <c r="BT50" s="50"/>
      <c r="BU50" s="50"/>
      <c r="BV50" s="50"/>
      <c r="BW50" s="50"/>
      <c r="BX50" s="50"/>
      <c r="BY50" s="50"/>
      <c r="BZ50" s="50"/>
      <c r="CA50" s="50"/>
      <c r="CB50" s="50"/>
      <c r="CC50" s="50"/>
      <c r="CD50" s="50"/>
      <c r="CE50" s="50"/>
      <c r="CF50" s="50"/>
      <c r="CG50" s="50"/>
      <c r="CH50" s="50"/>
      <c r="CI50" s="50"/>
      <c r="CJ50" s="50"/>
      <c r="CK50" s="50"/>
      <c r="CL50" s="50"/>
      <c r="CM50" s="50"/>
      <c r="CN50" s="50"/>
      <c r="CO50" s="50"/>
      <c r="CP50" s="50"/>
      <c r="CQ50" s="50"/>
      <c r="CR50" s="50"/>
      <c r="CS50" s="50"/>
      <c r="CT50" s="50"/>
      <c r="CU50" s="50"/>
      <c r="CV50" s="50"/>
      <c r="CW50" s="50"/>
      <c r="CX50" s="50"/>
      <c r="CY50" s="50"/>
      <c r="CZ50" s="50"/>
      <c r="DA50" s="50"/>
      <c r="DB50" s="50"/>
      <c r="DC50" s="50"/>
      <c r="DD50" s="50"/>
      <c r="DE50" s="50"/>
      <c r="DF50" s="50"/>
      <c r="DG50" s="50"/>
      <c r="DH50" s="50"/>
      <c r="DI50" s="50"/>
      <c r="DJ50" s="50"/>
      <c r="DK50" s="50"/>
      <c r="DL50" s="50"/>
      <c r="DM50" s="50"/>
      <c r="DN50" s="50"/>
      <c r="DO50" s="50"/>
      <c r="DP50" s="50"/>
      <c r="DQ50" s="50"/>
      <c r="DR50" s="50"/>
      <c r="DS50" s="50"/>
      <c r="DT50" s="50"/>
      <c r="DU50" s="50"/>
      <c r="DV50" s="50"/>
      <c r="DW50" s="50"/>
      <c r="DX50" s="50"/>
      <c r="DY50" s="50"/>
      <c r="DZ50" s="50"/>
      <c r="EA50" s="50"/>
      <c r="EB50" s="50"/>
      <c r="EC50" s="50"/>
      <c r="ED50" s="50"/>
      <c r="EE50" s="50"/>
      <c r="EF50" s="50"/>
      <c r="EG50" s="50"/>
      <c r="EH50" s="50"/>
      <c r="EI50" s="50"/>
      <c r="EJ50" s="50"/>
      <c r="EK50" s="50"/>
      <c r="EL50" s="50"/>
      <c r="EM50" s="50"/>
      <c r="EN50" s="50"/>
      <c r="EO50" s="50"/>
      <c r="EP50" s="50"/>
      <c r="EQ50" s="50"/>
      <c r="ER50" s="50"/>
      <c r="ES50" s="50"/>
      <c r="ET50" s="50"/>
      <c r="EU50" s="50"/>
      <c r="EV50" s="50"/>
      <c r="EW50" s="50"/>
      <c r="EX50" s="50"/>
      <c r="EY50" s="50"/>
      <c r="EZ50" s="50"/>
      <c r="FA50" s="50"/>
      <c r="FB50" s="50"/>
      <c r="FC50" s="50"/>
      <c r="FD50" s="50"/>
      <c r="FE50" s="50"/>
      <c r="FF50" s="50"/>
      <c r="FG50" s="50"/>
      <c r="FH50" s="50"/>
      <c r="FI50" s="50"/>
      <c r="FJ50" s="50"/>
      <c r="FK50" s="50"/>
      <c r="FL50" s="50"/>
      <c r="FM50" s="50"/>
      <c r="FN50" s="50"/>
      <c r="FO50" s="50"/>
      <c r="FP50" s="50"/>
      <c r="FQ50" s="50"/>
      <c r="FR50" s="50"/>
      <c r="FS50" s="50"/>
      <c r="FT50" s="50"/>
      <c r="FU50" s="50"/>
      <c r="FV50" s="50"/>
      <c r="FW50" s="50"/>
      <c r="FX50" s="50"/>
      <c r="FY50" s="50"/>
      <c r="FZ50" s="50"/>
      <c r="GA50" s="50"/>
      <c r="GB50" s="50"/>
      <c r="GC50" s="50"/>
      <c r="GD50" s="50"/>
      <c r="GE50" s="50"/>
      <c r="GF50" s="50"/>
      <c r="GG50" s="50"/>
      <c r="GH50" s="50"/>
      <c r="GI50" s="50"/>
      <c r="GJ50" s="50"/>
      <c r="GK50" s="50"/>
      <c r="GL50" s="50"/>
      <c r="GM50" s="50"/>
      <c r="GN50" s="50"/>
      <c r="GO50" s="50"/>
      <c r="GP50" s="50"/>
      <c r="GQ50" s="50"/>
      <c r="GR50" s="50"/>
      <c r="GS50" s="50"/>
      <c r="GT50" s="50"/>
      <c r="GU50" s="50"/>
      <c r="GV50" s="50"/>
      <c r="GW50" s="50"/>
      <c r="GX50" s="50"/>
      <c r="GY50" s="50"/>
      <c r="GZ50" s="50"/>
      <c r="HA50" s="50"/>
      <c r="HB50" s="50"/>
      <c r="HC50" s="50"/>
      <c r="HD50" s="50"/>
      <c r="HE50" s="50"/>
      <c r="HF50" s="50"/>
      <c r="HG50" s="50"/>
      <c r="HH50" s="50"/>
      <c r="HI50" s="50"/>
      <c r="HJ50" s="50"/>
      <c r="HK50" s="50"/>
      <c r="HL50" s="50"/>
      <c r="HM50" s="50"/>
      <c r="HN50" s="50"/>
      <c r="HO50" s="50"/>
      <c r="HP50" s="50"/>
      <c r="HQ50" s="50"/>
      <c r="HR50" s="50"/>
      <c r="HS50" s="50"/>
      <c r="HT50" s="50"/>
      <c r="HU50" s="50"/>
      <c r="HV50" s="50"/>
      <c r="HW50" s="50"/>
      <c r="HX50" s="50"/>
      <c r="HY50" s="50"/>
      <c r="HZ50" s="50"/>
      <c r="IA50" s="50"/>
      <c r="IB50" s="50"/>
      <c r="IC50" s="50"/>
      <c r="ID50" s="50"/>
      <c r="IE50" s="50"/>
      <c r="IF50" s="50"/>
      <c r="IG50" s="50"/>
      <c r="IH50" s="50"/>
      <c r="II50" s="50"/>
      <c r="IJ50" s="50"/>
      <c r="IK50" s="50"/>
      <c r="IL50" s="50"/>
      <c r="IM50" s="50"/>
      <c r="IN50" s="50"/>
      <c r="IO50" s="50"/>
      <c r="IP50" s="50"/>
      <c r="IQ50" s="50"/>
      <c r="IR50" s="50"/>
      <c r="IS50" s="50"/>
      <c r="IT50" s="50"/>
      <c r="IU50" s="50"/>
      <c r="IV50" s="50"/>
    </row>
    <row r="51" spans="1:256" s="2" customFormat="1" ht="32.25" customHeight="1">
      <c r="A51" s="136" t="s">
        <v>1638</v>
      </c>
      <c r="B51" s="137" t="s">
        <v>1225</v>
      </c>
      <c r="C51" s="47">
        <f t="shared" si="1"/>
        <v>0</v>
      </c>
      <c r="D51" s="252"/>
      <c r="E51" s="252"/>
      <c r="F51" s="252"/>
      <c r="G51" s="252"/>
      <c r="H51" s="252"/>
      <c r="I51" s="252"/>
      <c r="J51" s="47"/>
      <c r="K51" s="47"/>
      <c r="L51" s="47"/>
      <c r="M51" s="47">
        <f t="shared" si="7"/>
        <v>0</v>
      </c>
      <c r="N51" s="252"/>
      <c r="O51" s="47"/>
      <c r="P51" s="47"/>
      <c r="Q51" s="47"/>
      <c r="R51" s="47"/>
      <c r="S51" s="116">
        <f t="shared" si="3"/>
        <v>0</v>
      </c>
      <c r="T51" s="275"/>
      <c r="U51" s="116">
        <f t="shared" si="4"/>
        <v>0</v>
      </c>
      <c r="V51" s="275"/>
      <c r="W51" s="275"/>
      <c r="X51" s="275"/>
      <c r="Y51" s="275"/>
      <c r="Z51" s="275"/>
      <c r="AA51" s="275"/>
      <c r="AB51" s="275"/>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50"/>
      <c r="BD51" s="50"/>
      <c r="BE51" s="50"/>
      <c r="BF51" s="50"/>
      <c r="BG51" s="50"/>
      <c r="BH51" s="50"/>
      <c r="BI51" s="50"/>
      <c r="BJ51" s="50"/>
      <c r="BK51" s="50"/>
      <c r="BL51" s="50"/>
      <c r="BM51" s="50"/>
      <c r="BN51" s="50"/>
      <c r="BO51" s="50"/>
      <c r="BP51" s="50"/>
      <c r="BQ51" s="50"/>
      <c r="BR51" s="50"/>
      <c r="BS51" s="50"/>
      <c r="BT51" s="50"/>
      <c r="BU51" s="50"/>
      <c r="BV51" s="50"/>
      <c r="BW51" s="50"/>
      <c r="BX51" s="50"/>
      <c r="BY51" s="50"/>
      <c r="BZ51" s="50"/>
      <c r="CA51" s="50"/>
      <c r="CB51" s="50"/>
      <c r="CC51" s="50"/>
      <c r="CD51" s="50"/>
      <c r="CE51" s="50"/>
      <c r="CF51" s="50"/>
      <c r="CG51" s="50"/>
      <c r="CH51" s="50"/>
      <c r="CI51" s="50"/>
      <c r="CJ51" s="50"/>
      <c r="CK51" s="50"/>
      <c r="CL51" s="50"/>
      <c r="CM51" s="50"/>
      <c r="CN51" s="50"/>
      <c r="CO51" s="50"/>
      <c r="CP51" s="50"/>
      <c r="CQ51" s="50"/>
      <c r="CR51" s="50"/>
      <c r="CS51" s="50"/>
      <c r="CT51" s="50"/>
      <c r="CU51" s="50"/>
      <c r="CV51" s="50"/>
      <c r="CW51" s="50"/>
      <c r="CX51" s="50"/>
      <c r="CY51" s="50"/>
      <c r="CZ51" s="50"/>
      <c r="DA51" s="50"/>
      <c r="DB51" s="50"/>
      <c r="DC51" s="50"/>
      <c r="DD51" s="50"/>
      <c r="DE51" s="50"/>
      <c r="DF51" s="50"/>
      <c r="DG51" s="50"/>
      <c r="DH51" s="50"/>
      <c r="DI51" s="50"/>
      <c r="DJ51" s="50"/>
      <c r="DK51" s="50"/>
      <c r="DL51" s="50"/>
      <c r="DM51" s="50"/>
      <c r="DN51" s="50"/>
      <c r="DO51" s="50"/>
      <c r="DP51" s="50"/>
      <c r="DQ51" s="50"/>
      <c r="DR51" s="50"/>
      <c r="DS51" s="50"/>
      <c r="DT51" s="50"/>
      <c r="DU51" s="50"/>
      <c r="DV51" s="50"/>
      <c r="DW51" s="50"/>
      <c r="DX51" s="50"/>
      <c r="DY51" s="50"/>
      <c r="DZ51" s="50"/>
      <c r="EA51" s="50"/>
      <c r="EB51" s="50"/>
      <c r="EC51" s="50"/>
      <c r="ED51" s="50"/>
      <c r="EE51" s="50"/>
      <c r="EF51" s="50"/>
      <c r="EG51" s="50"/>
      <c r="EH51" s="50"/>
      <c r="EI51" s="50"/>
      <c r="EJ51" s="50"/>
      <c r="EK51" s="50"/>
      <c r="EL51" s="50"/>
      <c r="EM51" s="50"/>
      <c r="EN51" s="50"/>
      <c r="EO51" s="50"/>
      <c r="EP51" s="50"/>
      <c r="EQ51" s="50"/>
      <c r="ER51" s="50"/>
      <c r="ES51" s="50"/>
      <c r="ET51" s="50"/>
      <c r="EU51" s="50"/>
      <c r="EV51" s="50"/>
      <c r="EW51" s="50"/>
      <c r="EX51" s="50"/>
      <c r="EY51" s="50"/>
      <c r="EZ51" s="50"/>
      <c r="FA51" s="50"/>
      <c r="FB51" s="50"/>
      <c r="FC51" s="50"/>
      <c r="FD51" s="50"/>
      <c r="FE51" s="50"/>
      <c r="FF51" s="50"/>
      <c r="FG51" s="50"/>
      <c r="FH51" s="50"/>
      <c r="FI51" s="50"/>
      <c r="FJ51" s="50"/>
      <c r="FK51" s="50"/>
      <c r="FL51" s="50"/>
      <c r="FM51" s="50"/>
      <c r="FN51" s="50"/>
      <c r="FO51" s="50"/>
      <c r="FP51" s="50"/>
      <c r="FQ51" s="50"/>
      <c r="FR51" s="50"/>
      <c r="FS51" s="50"/>
      <c r="FT51" s="50"/>
      <c r="FU51" s="50"/>
      <c r="FV51" s="50"/>
      <c r="FW51" s="50"/>
      <c r="FX51" s="50"/>
      <c r="FY51" s="50"/>
      <c r="FZ51" s="50"/>
      <c r="GA51" s="50"/>
      <c r="GB51" s="50"/>
      <c r="GC51" s="50"/>
      <c r="GD51" s="50"/>
      <c r="GE51" s="50"/>
      <c r="GF51" s="50"/>
      <c r="GG51" s="50"/>
      <c r="GH51" s="50"/>
      <c r="GI51" s="50"/>
      <c r="GJ51" s="50"/>
      <c r="GK51" s="50"/>
      <c r="GL51" s="50"/>
      <c r="GM51" s="50"/>
      <c r="GN51" s="50"/>
      <c r="GO51" s="50"/>
      <c r="GP51" s="50"/>
      <c r="GQ51" s="50"/>
      <c r="GR51" s="50"/>
      <c r="GS51" s="50"/>
      <c r="GT51" s="50"/>
      <c r="GU51" s="50"/>
      <c r="GV51" s="50"/>
      <c r="GW51" s="50"/>
      <c r="GX51" s="50"/>
      <c r="GY51" s="50"/>
      <c r="GZ51" s="50"/>
      <c r="HA51" s="50"/>
      <c r="HB51" s="50"/>
      <c r="HC51" s="50"/>
      <c r="HD51" s="50"/>
      <c r="HE51" s="50"/>
      <c r="HF51" s="50"/>
      <c r="HG51" s="50"/>
      <c r="HH51" s="50"/>
      <c r="HI51" s="50"/>
      <c r="HJ51" s="50"/>
      <c r="HK51" s="50"/>
      <c r="HL51" s="50"/>
      <c r="HM51" s="50"/>
      <c r="HN51" s="50"/>
      <c r="HO51" s="50"/>
      <c r="HP51" s="50"/>
      <c r="HQ51" s="50"/>
      <c r="HR51" s="50"/>
      <c r="HS51" s="50"/>
      <c r="HT51" s="50"/>
      <c r="HU51" s="50"/>
      <c r="HV51" s="50"/>
      <c r="HW51" s="50"/>
      <c r="HX51" s="50"/>
      <c r="HY51" s="50"/>
      <c r="HZ51" s="50"/>
      <c r="IA51" s="50"/>
      <c r="IB51" s="50"/>
      <c r="IC51" s="50"/>
      <c r="ID51" s="50"/>
      <c r="IE51" s="50"/>
      <c r="IF51" s="50"/>
      <c r="IG51" s="50"/>
      <c r="IH51" s="50"/>
      <c r="II51" s="50"/>
      <c r="IJ51" s="50"/>
      <c r="IK51" s="50"/>
      <c r="IL51" s="50"/>
      <c r="IM51" s="50"/>
      <c r="IN51" s="50"/>
      <c r="IO51" s="50"/>
      <c r="IP51" s="50"/>
      <c r="IQ51" s="50"/>
      <c r="IR51" s="50"/>
      <c r="IS51" s="50"/>
      <c r="IT51" s="50"/>
      <c r="IU51" s="50"/>
      <c r="IV51" s="50"/>
    </row>
    <row r="52" spans="1:256" s="2" customFormat="1" ht="21" customHeight="1">
      <c r="A52" s="136">
        <v>13</v>
      </c>
      <c r="B52" s="137" t="s">
        <v>1386</v>
      </c>
      <c r="C52" s="47">
        <f t="shared" si="1"/>
        <v>0</v>
      </c>
      <c r="D52" s="252"/>
      <c r="E52" s="252"/>
      <c r="F52" s="252"/>
      <c r="G52" s="252"/>
      <c r="H52" s="252"/>
      <c r="I52" s="252"/>
      <c r="J52" s="47"/>
      <c r="K52" s="47"/>
      <c r="L52" s="47"/>
      <c r="M52" s="47">
        <f t="shared" si="7"/>
        <v>0</v>
      </c>
      <c r="N52" s="252"/>
      <c r="O52" s="47"/>
      <c r="P52" s="47"/>
      <c r="Q52" s="47"/>
      <c r="R52" s="47"/>
      <c r="S52" s="116">
        <f t="shared" si="3"/>
        <v>0</v>
      </c>
      <c r="T52" s="275"/>
      <c r="U52" s="116">
        <f t="shared" si="4"/>
        <v>0</v>
      </c>
      <c r="V52" s="275"/>
      <c r="W52" s="275"/>
      <c r="X52" s="275"/>
      <c r="Y52" s="275"/>
      <c r="Z52" s="275"/>
      <c r="AA52" s="275"/>
      <c r="AB52" s="275"/>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50"/>
      <c r="BD52" s="50"/>
      <c r="BE52" s="50"/>
      <c r="BF52" s="50"/>
      <c r="BG52" s="50"/>
      <c r="BH52" s="50"/>
      <c r="BI52" s="50"/>
      <c r="BJ52" s="50"/>
      <c r="BK52" s="50"/>
      <c r="BL52" s="50"/>
      <c r="BM52" s="50"/>
      <c r="BN52" s="50"/>
      <c r="BO52" s="50"/>
      <c r="BP52" s="50"/>
      <c r="BQ52" s="50"/>
      <c r="BR52" s="50"/>
      <c r="BS52" s="50"/>
      <c r="BT52" s="50"/>
      <c r="BU52" s="50"/>
      <c r="BV52" s="50"/>
      <c r="BW52" s="50"/>
      <c r="BX52" s="50"/>
      <c r="BY52" s="50"/>
      <c r="BZ52" s="50"/>
      <c r="CA52" s="50"/>
      <c r="CB52" s="50"/>
      <c r="CC52" s="50"/>
      <c r="CD52" s="50"/>
      <c r="CE52" s="50"/>
      <c r="CF52" s="50"/>
      <c r="CG52" s="50"/>
      <c r="CH52" s="50"/>
      <c r="CI52" s="50"/>
      <c r="CJ52" s="50"/>
      <c r="CK52" s="50"/>
      <c r="CL52" s="50"/>
      <c r="CM52" s="50"/>
      <c r="CN52" s="50"/>
      <c r="CO52" s="50"/>
      <c r="CP52" s="50"/>
      <c r="CQ52" s="50"/>
      <c r="CR52" s="50"/>
      <c r="CS52" s="50"/>
      <c r="CT52" s="50"/>
      <c r="CU52" s="50"/>
      <c r="CV52" s="50"/>
      <c r="CW52" s="50"/>
      <c r="CX52" s="50"/>
      <c r="CY52" s="50"/>
      <c r="CZ52" s="50"/>
      <c r="DA52" s="50"/>
      <c r="DB52" s="50"/>
      <c r="DC52" s="50"/>
      <c r="DD52" s="50"/>
      <c r="DE52" s="50"/>
      <c r="DF52" s="50"/>
      <c r="DG52" s="50"/>
      <c r="DH52" s="50"/>
      <c r="DI52" s="50"/>
      <c r="DJ52" s="50"/>
      <c r="DK52" s="50"/>
      <c r="DL52" s="50"/>
      <c r="DM52" s="50"/>
      <c r="DN52" s="50"/>
      <c r="DO52" s="50"/>
      <c r="DP52" s="50"/>
      <c r="DQ52" s="50"/>
      <c r="DR52" s="50"/>
      <c r="DS52" s="50"/>
      <c r="DT52" s="50"/>
      <c r="DU52" s="50"/>
      <c r="DV52" s="50"/>
      <c r="DW52" s="50"/>
      <c r="DX52" s="50"/>
      <c r="DY52" s="50"/>
      <c r="DZ52" s="50"/>
      <c r="EA52" s="50"/>
      <c r="EB52" s="50"/>
      <c r="EC52" s="50"/>
      <c r="ED52" s="50"/>
      <c r="EE52" s="50"/>
      <c r="EF52" s="50"/>
      <c r="EG52" s="50"/>
      <c r="EH52" s="50"/>
      <c r="EI52" s="50"/>
      <c r="EJ52" s="50"/>
      <c r="EK52" s="50"/>
      <c r="EL52" s="50"/>
      <c r="EM52" s="50"/>
      <c r="EN52" s="50"/>
      <c r="EO52" s="50"/>
      <c r="EP52" s="50"/>
      <c r="EQ52" s="50"/>
      <c r="ER52" s="50"/>
      <c r="ES52" s="50"/>
      <c r="ET52" s="50"/>
      <c r="EU52" s="50"/>
      <c r="EV52" s="50"/>
      <c r="EW52" s="50"/>
      <c r="EX52" s="50"/>
      <c r="EY52" s="50"/>
      <c r="EZ52" s="50"/>
      <c r="FA52" s="50"/>
      <c r="FB52" s="50"/>
      <c r="FC52" s="50"/>
      <c r="FD52" s="50"/>
      <c r="FE52" s="50"/>
      <c r="FF52" s="50"/>
      <c r="FG52" s="50"/>
      <c r="FH52" s="50"/>
      <c r="FI52" s="50"/>
      <c r="FJ52" s="50"/>
      <c r="FK52" s="50"/>
      <c r="FL52" s="50"/>
      <c r="FM52" s="50"/>
      <c r="FN52" s="50"/>
      <c r="FO52" s="50"/>
      <c r="FP52" s="50"/>
      <c r="FQ52" s="50"/>
      <c r="FR52" s="50"/>
      <c r="FS52" s="50"/>
      <c r="FT52" s="50"/>
      <c r="FU52" s="50"/>
      <c r="FV52" s="50"/>
      <c r="FW52" s="50"/>
      <c r="FX52" s="50"/>
      <c r="FY52" s="50"/>
      <c r="FZ52" s="50"/>
      <c r="GA52" s="50"/>
      <c r="GB52" s="50"/>
      <c r="GC52" s="50"/>
      <c r="GD52" s="50"/>
      <c r="GE52" s="50"/>
      <c r="GF52" s="50"/>
      <c r="GG52" s="50"/>
      <c r="GH52" s="50"/>
      <c r="GI52" s="50"/>
      <c r="GJ52" s="50"/>
      <c r="GK52" s="50"/>
      <c r="GL52" s="50"/>
      <c r="GM52" s="50"/>
      <c r="GN52" s="50"/>
      <c r="GO52" s="50"/>
      <c r="GP52" s="50"/>
      <c r="GQ52" s="50"/>
      <c r="GR52" s="50"/>
      <c r="GS52" s="50"/>
      <c r="GT52" s="50"/>
      <c r="GU52" s="50"/>
      <c r="GV52" s="50"/>
      <c r="GW52" s="50"/>
      <c r="GX52" s="50"/>
      <c r="GY52" s="50"/>
      <c r="GZ52" s="50"/>
      <c r="HA52" s="50"/>
      <c r="HB52" s="50"/>
      <c r="HC52" s="50"/>
      <c r="HD52" s="50"/>
      <c r="HE52" s="50"/>
      <c r="HF52" s="50"/>
      <c r="HG52" s="50"/>
      <c r="HH52" s="50"/>
      <c r="HI52" s="50"/>
      <c r="HJ52" s="50"/>
      <c r="HK52" s="50"/>
      <c r="HL52" s="50"/>
      <c r="HM52" s="50"/>
      <c r="HN52" s="50"/>
      <c r="HO52" s="50"/>
      <c r="HP52" s="50"/>
      <c r="HQ52" s="50"/>
      <c r="HR52" s="50"/>
      <c r="HS52" s="50"/>
      <c r="HT52" s="50"/>
      <c r="HU52" s="50"/>
      <c r="HV52" s="50"/>
      <c r="HW52" s="50"/>
      <c r="HX52" s="50"/>
      <c r="HY52" s="50"/>
      <c r="HZ52" s="50"/>
      <c r="IA52" s="50"/>
      <c r="IB52" s="50"/>
      <c r="IC52" s="50"/>
      <c r="ID52" s="50"/>
      <c r="IE52" s="50"/>
      <c r="IF52" s="50"/>
      <c r="IG52" s="50"/>
      <c r="IH52" s="50"/>
      <c r="II52" s="50"/>
      <c r="IJ52" s="50"/>
      <c r="IK52" s="50"/>
      <c r="IL52" s="50"/>
      <c r="IM52" s="50"/>
      <c r="IN52" s="50"/>
      <c r="IO52" s="50"/>
      <c r="IP52" s="50"/>
      <c r="IQ52" s="50"/>
      <c r="IR52" s="50"/>
      <c r="IS52" s="50"/>
      <c r="IT52" s="50"/>
      <c r="IU52" s="50"/>
      <c r="IV52" s="50"/>
    </row>
    <row r="53" spans="1:256" s="2" customFormat="1" ht="26.25" customHeight="1">
      <c r="A53" s="136" t="s">
        <v>1323</v>
      </c>
      <c r="B53" s="140" t="s">
        <v>234</v>
      </c>
      <c r="C53" s="47">
        <f t="shared" si="1"/>
        <v>59785</v>
      </c>
      <c r="D53" s="287"/>
      <c r="E53" s="287"/>
      <c r="F53" s="287"/>
      <c r="G53" s="287"/>
      <c r="H53" s="287"/>
      <c r="I53" s="287">
        <f>+'PL 04'!W210</f>
        <v>1500</v>
      </c>
      <c r="J53" s="288"/>
      <c r="K53" s="288"/>
      <c r="L53" s="288"/>
      <c r="M53" s="47">
        <f>+'PL 04'!W867+'PL 04'!W881+N53+O53</f>
        <v>57875</v>
      </c>
      <c r="N53" s="287">
        <f>+'PL 04'!W698</f>
        <v>32000</v>
      </c>
      <c r="O53" s="288">
        <f>+'PL 04'!W365</f>
        <v>8000</v>
      </c>
      <c r="P53" s="288">
        <f>+'PL 04'!W958</f>
        <v>410</v>
      </c>
      <c r="Q53" s="288"/>
      <c r="R53" s="288"/>
      <c r="S53" s="116">
        <f t="shared" si="3"/>
        <v>17875</v>
      </c>
      <c r="T53" s="115"/>
      <c r="U53" s="116">
        <f t="shared" si="4"/>
        <v>17875</v>
      </c>
      <c r="V53" s="115"/>
      <c r="W53" s="115"/>
      <c r="X53" s="115"/>
      <c r="Y53" s="115"/>
      <c r="Z53" s="115"/>
      <c r="AA53" s="115"/>
      <c r="AB53" s="115"/>
    </row>
    <row r="54" spans="1:256" s="2" customFormat="1" ht="30" customHeight="1">
      <c r="A54" s="136" t="s">
        <v>1717</v>
      </c>
      <c r="B54" s="140" t="s">
        <v>425</v>
      </c>
      <c r="C54" s="47">
        <f t="shared" si="1"/>
        <v>21117</v>
      </c>
      <c r="D54" s="287">
        <f>+'PL 04'!W58</f>
        <v>2290</v>
      </c>
      <c r="E54" s="287"/>
      <c r="F54" s="287"/>
      <c r="G54" s="287"/>
      <c r="H54" s="287"/>
      <c r="I54" s="287">
        <f>+'PL 04'!W222</f>
        <v>1070</v>
      </c>
      <c r="J54" s="288"/>
      <c r="K54" s="288"/>
      <c r="L54" s="288"/>
      <c r="M54" s="47">
        <f>+'PL 04'!W900+N54+O54</f>
        <v>17757</v>
      </c>
      <c r="N54" s="287">
        <f>+'PL 04'!W716</f>
        <v>15000</v>
      </c>
      <c r="O54" s="288"/>
      <c r="P54" s="288"/>
      <c r="Q54" s="288"/>
      <c r="R54" s="288"/>
      <c r="S54" s="116">
        <f t="shared" si="3"/>
        <v>2757</v>
      </c>
      <c r="T54" s="115"/>
      <c r="U54" s="116">
        <f t="shared" si="4"/>
        <v>2757</v>
      </c>
      <c r="V54" s="115"/>
      <c r="W54" s="115"/>
      <c r="X54" s="115"/>
      <c r="Y54" s="115"/>
      <c r="Z54" s="115"/>
      <c r="AA54" s="115"/>
      <c r="AB54" s="115"/>
    </row>
    <row r="55" spans="1:256" s="2" customFormat="1" ht="36" customHeight="1">
      <c r="A55" s="136" t="s">
        <v>1718</v>
      </c>
      <c r="B55" s="137" t="s">
        <v>201</v>
      </c>
      <c r="C55" s="47">
        <f t="shared" si="1"/>
        <v>168710</v>
      </c>
      <c r="D55" s="287">
        <f>+'PL 04'!W14</f>
        <v>100418</v>
      </c>
      <c r="E55" s="287"/>
      <c r="F55" s="287"/>
      <c r="G55" s="287"/>
      <c r="H55" s="287"/>
      <c r="I55" s="287">
        <f>+'PL 04'!W268</f>
        <v>106</v>
      </c>
      <c r="J55" s="288"/>
      <c r="K55" s="288"/>
      <c r="L55" s="288"/>
      <c r="M55" s="47">
        <f>+N55+O55</f>
        <v>68186</v>
      </c>
      <c r="N55" s="287">
        <f>+'PL 04'!W674</f>
        <v>68186</v>
      </c>
      <c r="O55" s="288"/>
      <c r="P55" s="288"/>
      <c r="Q55" s="288"/>
      <c r="R55" s="288"/>
      <c r="S55" s="116">
        <f t="shared" si="3"/>
        <v>0</v>
      </c>
      <c r="T55" s="115"/>
      <c r="U55" s="116">
        <f t="shared" si="4"/>
        <v>0</v>
      </c>
      <c r="V55" s="115"/>
      <c r="W55" s="115"/>
      <c r="X55" s="115"/>
      <c r="Y55" s="115"/>
      <c r="Z55" s="115"/>
      <c r="AA55" s="115"/>
      <c r="AB55" s="115"/>
    </row>
    <row r="56" spans="1:256" s="2" customFormat="1" ht="21" customHeight="1">
      <c r="A56" s="136" t="s">
        <v>1719</v>
      </c>
      <c r="B56" s="141" t="s">
        <v>203</v>
      </c>
      <c r="C56" s="47">
        <f t="shared" si="1"/>
        <v>313128</v>
      </c>
      <c r="D56" s="287">
        <f>+'PL 04'!W26</f>
        <v>70695</v>
      </c>
      <c r="E56" s="287"/>
      <c r="F56" s="287"/>
      <c r="G56" s="287"/>
      <c r="H56" s="287"/>
      <c r="I56" s="287"/>
      <c r="J56" s="288"/>
      <c r="K56" s="288"/>
      <c r="L56" s="288"/>
      <c r="M56" s="47">
        <f>+'PL 04'!W907+N56+O56</f>
        <v>242041</v>
      </c>
      <c r="N56" s="291">
        <f>+'PL 04'!W685</f>
        <v>179659</v>
      </c>
      <c r="O56" s="288">
        <f>+'PL 04'!W359</f>
        <v>40000</v>
      </c>
      <c r="P56" s="288">
        <f>+'PL 04'!W954</f>
        <v>392</v>
      </c>
      <c r="Q56" s="288"/>
      <c r="R56" s="288"/>
      <c r="S56" s="116">
        <f t="shared" si="3"/>
        <v>22382</v>
      </c>
      <c r="T56" s="115"/>
      <c r="U56" s="116">
        <f t="shared" si="4"/>
        <v>22382</v>
      </c>
      <c r="V56" s="115"/>
      <c r="W56" s="115"/>
      <c r="X56" s="115"/>
      <c r="Y56" s="115"/>
      <c r="Z56" s="115"/>
      <c r="AA56" s="115"/>
      <c r="AB56" s="115"/>
    </row>
    <row r="57" spans="1:256" s="2" customFormat="1" ht="30.75" customHeight="1">
      <c r="A57" s="136" t="s">
        <v>1720</v>
      </c>
      <c r="B57" s="142" t="s">
        <v>280</v>
      </c>
      <c r="C57" s="47">
        <f t="shared" si="1"/>
        <v>8796</v>
      </c>
      <c r="D57" s="287"/>
      <c r="E57" s="287"/>
      <c r="F57" s="287"/>
      <c r="G57" s="287"/>
      <c r="H57" s="287"/>
      <c r="I57" s="287"/>
      <c r="J57" s="288"/>
      <c r="K57" s="288"/>
      <c r="L57" s="288"/>
      <c r="M57" s="47">
        <f>+N57+O57</f>
        <v>8796</v>
      </c>
      <c r="N57" s="287">
        <f>+'PL 04'!W660</f>
        <v>300</v>
      </c>
      <c r="O57" s="288">
        <f>+'PL 04'!W353</f>
        <v>8496</v>
      </c>
      <c r="P57" s="288"/>
      <c r="Q57" s="288"/>
      <c r="R57" s="288"/>
      <c r="S57" s="116">
        <f t="shared" si="3"/>
        <v>0</v>
      </c>
      <c r="T57" s="115"/>
      <c r="U57" s="116">
        <f t="shared" si="4"/>
        <v>0</v>
      </c>
      <c r="V57" s="115"/>
      <c r="W57" s="115"/>
      <c r="X57" s="115"/>
      <c r="Y57" s="115"/>
      <c r="Z57" s="115"/>
      <c r="AA57" s="115"/>
      <c r="AB57" s="115"/>
    </row>
    <row r="58" spans="1:256" s="2" customFormat="1" ht="21" customHeight="1">
      <c r="A58" s="136" t="s">
        <v>1721</v>
      </c>
      <c r="B58" s="142" t="s">
        <v>456</v>
      </c>
      <c r="C58" s="47">
        <f t="shared" si="1"/>
        <v>8000</v>
      </c>
      <c r="D58" s="287"/>
      <c r="E58" s="287"/>
      <c r="F58" s="287"/>
      <c r="G58" s="287"/>
      <c r="H58" s="287"/>
      <c r="I58" s="287"/>
      <c r="J58" s="288"/>
      <c r="K58" s="288"/>
      <c r="L58" s="288"/>
      <c r="M58" s="47">
        <f>+N58+O58</f>
        <v>8000</v>
      </c>
      <c r="N58" s="287">
        <f>+'PL 04'!W722</f>
        <v>8000</v>
      </c>
      <c r="O58" s="288"/>
      <c r="P58" s="288"/>
      <c r="Q58" s="288"/>
      <c r="R58" s="288"/>
      <c r="S58" s="116">
        <f t="shared" si="3"/>
        <v>0</v>
      </c>
      <c r="T58" s="115"/>
      <c r="U58" s="116">
        <f t="shared" si="4"/>
        <v>0</v>
      </c>
      <c r="V58" s="115"/>
      <c r="W58" s="115"/>
      <c r="X58" s="115"/>
      <c r="Y58" s="115"/>
      <c r="Z58" s="115"/>
      <c r="AA58" s="115"/>
      <c r="AB58" s="115"/>
    </row>
    <row r="59" spans="1:256" s="122" customFormat="1" ht="21" customHeight="1">
      <c r="A59" s="34" t="s">
        <v>1722</v>
      </c>
      <c r="B59" s="281" t="s">
        <v>664</v>
      </c>
      <c r="C59" s="252">
        <f t="shared" si="1"/>
        <v>43500</v>
      </c>
      <c r="D59" s="287">
        <f>+'PL 04'!W51</f>
        <v>40000</v>
      </c>
      <c r="E59" s="287"/>
      <c r="F59" s="287"/>
      <c r="G59" s="287"/>
      <c r="H59" s="287"/>
      <c r="I59" s="287">
        <f>+'PL 04'!W216</f>
        <v>3500</v>
      </c>
      <c r="J59" s="287"/>
      <c r="K59" s="287"/>
      <c r="L59" s="287"/>
      <c r="M59" s="252">
        <f t="shared" ref="M59:M62" si="8">+N59+O59</f>
        <v>0</v>
      </c>
      <c r="N59" s="287"/>
      <c r="O59" s="287"/>
      <c r="P59" s="287"/>
      <c r="Q59" s="287"/>
      <c r="R59" s="287"/>
      <c r="S59" s="277">
        <f t="shared" si="3"/>
        <v>0</v>
      </c>
      <c r="T59" s="276"/>
      <c r="U59" s="277">
        <f t="shared" si="4"/>
        <v>0</v>
      </c>
      <c r="V59" s="276"/>
      <c r="W59" s="276"/>
      <c r="X59" s="276"/>
      <c r="Y59" s="276"/>
      <c r="Z59" s="276"/>
      <c r="AA59" s="276"/>
      <c r="AB59" s="276"/>
    </row>
    <row r="60" spans="1:256" s="2" customFormat="1" ht="21" customHeight="1">
      <c r="A60" s="136" t="s">
        <v>1723</v>
      </c>
      <c r="B60" s="141" t="s">
        <v>450</v>
      </c>
      <c r="C60" s="47">
        <f t="shared" si="1"/>
        <v>4917</v>
      </c>
      <c r="D60" s="287"/>
      <c r="E60" s="287"/>
      <c r="F60" s="287"/>
      <c r="G60" s="287"/>
      <c r="H60" s="287"/>
      <c r="I60" s="287"/>
      <c r="J60" s="288"/>
      <c r="K60" s="288"/>
      <c r="L60" s="288"/>
      <c r="M60" s="47">
        <f t="shared" si="8"/>
        <v>4917</v>
      </c>
      <c r="N60" s="287"/>
      <c r="O60" s="288">
        <f>+'PL 04'!W377</f>
        <v>4917</v>
      </c>
      <c r="P60" s="288"/>
      <c r="Q60" s="288"/>
      <c r="R60" s="288"/>
      <c r="S60" s="116">
        <f t="shared" si="3"/>
        <v>0</v>
      </c>
      <c r="T60" s="115"/>
      <c r="U60" s="116">
        <f t="shared" si="4"/>
        <v>0</v>
      </c>
      <c r="V60" s="115"/>
      <c r="W60" s="115"/>
      <c r="X60" s="115"/>
      <c r="Y60" s="115"/>
      <c r="Z60" s="115"/>
      <c r="AA60" s="115"/>
      <c r="AB60" s="115"/>
    </row>
    <row r="61" spans="1:256" s="2" customFormat="1" ht="21" customHeight="1">
      <c r="A61" s="136" t="s">
        <v>1724</v>
      </c>
      <c r="B61" s="141" t="s">
        <v>315</v>
      </c>
      <c r="C61" s="47">
        <f t="shared" si="1"/>
        <v>11554</v>
      </c>
      <c r="D61" s="287"/>
      <c r="E61" s="287"/>
      <c r="F61" s="287"/>
      <c r="G61" s="287"/>
      <c r="H61" s="287"/>
      <c r="I61" s="287"/>
      <c r="J61" s="288"/>
      <c r="K61" s="288"/>
      <c r="L61" s="288"/>
      <c r="M61" s="47">
        <f t="shared" si="8"/>
        <v>11554</v>
      </c>
      <c r="N61" s="287">
        <f>+'PL 04'!W667</f>
        <v>5680</v>
      </c>
      <c r="O61" s="288">
        <f>+'PL 04'!W347</f>
        <v>5874</v>
      </c>
      <c r="P61" s="288"/>
      <c r="Q61" s="288"/>
      <c r="R61" s="288"/>
      <c r="S61" s="116">
        <f t="shared" si="3"/>
        <v>0</v>
      </c>
      <c r="T61" s="115"/>
      <c r="U61" s="116">
        <f t="shared" si="4"/>
        <v>0</v>
      </c>
      <c r="V61" s="115"/>
      <c r="W61" s="115"/>
      <c r="X61" s="115"/>
      <c r="Y61" s="115"/>
      <c r="Z61" s="115"/>
      <c r="AA61" s="115"/>
      <c r="AB61" s="115"/>
    </row>
    <row r="62" spans="1:256" s="2" customFormat="1" ht="21" customHeight="1">
      <c r="A62" s="136" t="s">
        <v>1725</v>
      </c>
      <c r="B62" s="141" t="s">
        <v>235</v>
      </c>
      <c r="C62" s="47">
        <f>SUM(D62:M62)+SUM(P62:R62)</f>
        <v>18294.400000000001</v>
      </c>
      <c r="D62" s="287">
        <f>+'PL 04'!W43</f>
        <v>113</v>
      </c>
      <c r="E62" s="287"/>
      <c r="F62" s="287"/>
      <c r="G62" s="287">
        <f>+'PL 04'!W167</f>
        <v>71.400000000000006</v>
      </c>
      <c r="H62" s="287">
        <f>+'PL 04'!W198</f>
        <v>10</v>
      </c>
      <c r="I62" s="287"/>
      <c r="J62" s="288"/>
      <c r="K62" s="288"/>
      <c r="L62" s="288">
        <f>+'PL 04'!W288</f>
        <v>33</v>
      </c>
      <c r="M62" s="47">
        <f t="shared" si="8"/>
        <v>18067</v>
      </c>
      <c r="N62" s="287">
        <f>+'PL 04'!W707</f>
        <v>18067</v>
      </c>
      <c r="O62" s="288"/>
      <c r="P62" s="288"/>
      <c r="Q62" s="288"/>
      <c r="R62" s="288"/>
      <c r="S62" s="116">
        <f t="shared" si="3"/>
        <v>0</v>
      </c>
      <c r="T62" s="115"/>
      <c r="U62" s="116">
        <f t="shared" si="4"/>
        <v>0</v>
      </c>
      <c r="V62" s="115"/>
      <c r="W62" s="115"/>
      <c r="X62" s="115"/>
      <c r="Y62" s="115"/>
      <c r="Z62" s="115"/>
      <c r="AA62" s="115"/>
      <c r="AB62" s="115"/>
    </row>
    <row r="63" spans="1:256" s="2" customFormat="1" ht="21" customHeight="1">
      <c r="A63" s="136" t="s">
        <v>1726</v>
      </c>
      <c r="B63" s="143" t="s">
        <v>247</v>
      </c>
      <c r="C63" s="47">
        <f t="shared" si="1"/>
        <v>210068</v>
      </c>
      <c r="D63" s="287"/>
      <c r="E63" s="287"/>
      <c r="F63" s="287"/>
      <c r="G63" s="287"/>
      <c r="H63" s="287">
        <f>+'PL 04'!W187</f>
        <v>40939</v>
      </c>
      <c r="I63" s="287"/>
      <c r="J63" s="288"/>
      <c r="K63" s="288"/>
      <c r="L63" s="288"/>
      <c r="M63" s="47">
        <f>+'PL 04'!W874+N63+O63</f>
        <v>166000</v>
      </c>
      <c r="N63" s="287">
        <f>+'PL 04'!W654</f>
        <v>6000</v>
      </c>
      <c r="O63" s="288">
        <f>+'PL 04'!W371</f>
        <v>13000</v>
      </c>
      <c r="P63" s="288">
        <f>+'PL 04'!W946</f>
        <v>3129</v>
      </c>
      <c r="Q63" s="288"/>
      <c r="R63" s="288"/>
      <c r="S63" s="116">
        <f t="shared" si="3"/>
        <v>147000</v>
      </c>
      <c r="T63" s="115"/>
      <c r="U63" s="116">
        <f t="shared" si="4"/>
        <v>147000</v>
      </c>
      <c r="V63" s="115"/>
      <c r="W63" s="115"/>
      <c r="X63" s="115"/>
      <c r="Y63" s="115"/>
      <c r="Z63" s="115"/>
      <c r="AA63" s="115"/>
      <c r="AB63" s="115"/>
    </row>
    <row r="64" spans="1:256" s="2" customFormat="1" ht="21" customHeight="1">
      <c r="A64" s="136">
        <v>14</v>
      </c>
      <c r="B64" s="137" t="s">
        <v>128</v>
      </c>
      <c r="C64" s="47">
        <f t="shared" si="1"/>
        <v>557000</v>
      </c>
      <c r="D64" s="252"/>
      <c r="E64" s="252"/>
      <c r="F64" s="252"/>
      <c r="G64" s="252"/>
      <c r="H64" s="252"/>
      <c r="I64" s="252"/>
      <c r="J64" s="47"/>
      <c r="K64" s="47"/>
      <c r="L64" s="47"/>
      <c r="M64" s="47">
        <f>+N64+O64</f>
        <v>557000</v>
      </c>
      <c r="N64" s="252"/>
      <c r="O64" s="47">
        <f>+'PL 04'!W314+'PL 03'!W20+'PL 02'!W20</f>
        <v>557000</v>
      </c>
      <c r="P64" s="47"/>
      <c r="Q64" s="47"/>
      <c r="R64" s="47"/>
      <c r="S64" s="116">
        <f t="shared" si="3"/>
        <v>0</v>
      </c>
      <c r="T64" s="275"/>
      <c r="U64" s="116">
        <f t="shared" si="4"/>
        <v>0</v>
      </c>
      <c r="V64" s="275"/>
      <c r="W64" s="275"/>
      <c r="X64" s="275"/>
      <c r="Y64" s="275"/>
      <c r="Z64" s="275"/>
      <c r="AA64" s="275"/>
      <c r="AB64" s="275"/>
      <c r="AC64" s="50"/>
      <c r="AD64" s="50"/>
      <c r="AE64" s="50"/>
      <c r="AF64" s="50"/>
      <c r="AG64" s="50"/>
      <c r="AH64" s="50"/>
      <c r="AI64" s="50"/>
      <c r="AJ64" s="50"/>
      <c r="AK64" s="50"/>
      <c r="AL64" s="50"/>
      <c r="AM64" s="50"/>
      <c r="AN64" s="50"/>
      <c r="AO64" s="50"/>
      <c r="AP64" s="50"/>
      <c r="AQ64" s="50"/>
      <c r="AR64" s="50"/>
      <c r="AS64" s="50"/>
      <c r="AT64" s="50"/>
      <c r="AU64" s="50"/>
      <c r="AV64" s="50"/>
      <c r="AW64" s="50"/>
      <c r="AX64" s="50"/>
      <c r="AY64" s="50"/>
      <c r="AZ64" s="50"/>
      <c r="BA64" s="50"/>
      <c r="BB64" s="50"/>
      <c r="BC64" s="50"/>
      <c r="BD64" s="50"/>
      <c r="BE64" s="50"/>
      <c r="BF64" s="50"/>
      <c r="BG64" s="50"/>
      <c r="BH64" s="50"/>
      <c r="BI64" s="50"/>
      <c r="BJ64" s="50"/>
      <c r="BK64" s="50"/>
      <c r="BL64" s="50"/>
      <c r="BM64" s="50"/>
      <c r="BN64" s="50"/>
      <c r="BO64" s="50"/>
      <c r="BP64" s="50"/>
      <c r="BQ64" s="50"/>
      <c r="BR64" s="50"/>
      <c r="BS64" s="50"/>
      <c r="BT64" s="50"/>
      <c r="BU64" s="50"/>
      <c r="BV64" s="50"/>
      <c r="BW64" s="50"/>
      <c r="BX64" s="50"/>
      <c r="BY64" s="50"/>
      <c r="BZ64" s="50"/>
      <c r="CA64" s="50"/>
      <c r="CB64" s="50"/>
      <c r="CC64" s="50"/>
      <c r="CD64" s="50"/>
      <c r="CE64" s="50"/>
      <c r="CF64" s="50"/>
      <c r="CG64" s="50"/>
      <c r="CH64" s="50"/>
      <c r="CI64" s="50"/>
      <c r="CJ64" s="50"/>
      <c r="CK64" s="50"/>
      <c r="CL64" s="50"/>
      <c r="CM64" s="50"/>
      <c r="CN64" s="50"/>
      <c r="CO64" s="50"/>
      <c r="CP64" s="50"/>
      <c r="CQ64" s="50"/>
      <c r="CR64" s="50"/>
      <c r="CS64" s="50"/>
      <c r="CT64" s="50"/>
      <c r="CU64" s="50"/>
      <c r="CV64" s="50"/>
      <c r="CW64" s="50"/>
      <c r="CX64" s="50"/>
      <c r="CY64" s="50"/>
      <c r="CZ64" s="50"/>
      <c r="DA64" s="50"/>
      <c r="DB64" s="50"/>
      <c r="DC64" s="50"/>
      <c r="DD64" s="50"/>
      <c r="DE64" s="50"/>
      <c r="DF64" s="50"/>
      <c r="DG64" s="50"/>
      <c r="DH64" s="50"/>
      <c r="DI64" s="50"/>
      <c r="DJ64" s="50"/>
      <c r="DK64" s="50"/>
      <c r="DL64" s="50"/>
      <c r="DM64" s="50"/>
      <c r="DN64" s="50"/>
      <c r="DO64" s="50"/>
      <c r="DP64" s="50"/>
      <c r="DQ64" s="50"/>
      <c r="DR64" s="50"/>
      <c r="DS64" s="50"/>
      <c r="DT64" s="50"/>
      <c r="DU64" s="50"/>
      <c r="DV64" s="50"/>
      <c r="DW64" s="50"/>
      <c r="DX64" s="50"/>
      <c r="DY64" s="50"/>
      <c r="DZ64" s="50"/>
      <c r="EA64" s="50"/>
      <c r="EB64" s="50"/>
      <c r="EC64" s="50"/>
      <c r="ED64" s="50"/>
      <c r="EE64" s="50"/>
      <c r="EF64" s="50"/>
      <c r="EG64" s="50"/>
      <c r="EH64" s="50"/>
      <c r="EI64" s="50"/>
      <c r="EJ64" s="50"/>
      <c r="EK64" s="50"/>
      <c r="EL64" s="50"/>
      <c r="EM64" s="50"/>
      <c r="EN64" s="50"/>
      <c r="EO64" s="50"/>
      <c r="EP64" s="50"/>
      <c r="EQ64" s="50"/>
      <c r="ER64" s="50"/>
      <c r="ES64" s="50"/>
      <c r="ET64" s="50"/>
      <c r="EU64" s="50"/>
      <c r="EV64" s="50"/>
      <c r="EW64" s="50"/>
      <c r="EX64" s="50"/>
      <c r="EY64" s="50"/>
      <c r="EZ64" s="50"/>
      <c r="FA64" s="50"/>
      <c r="FB64" s="50"/>
      <c r="FC64" s="50"/>
      <c r="FD64" s="50"/>
      <c r="FE64" s="50"/>
      <c r="FF64" s="50"/>
      <c r="FG64" s="50"/>
      <c r="FH64" s="50"/>
      <c r="FI64" s="50"/>
      <c r="FJ64" s="50"/>
      <c r="FK64" s="50"/>
      <c r="FL64" s="50"/>
      <c r="FM64" s="50"/>
      <c r="FN64" s="50"/>
      <c r="FO64" s="50"/>
      <c r="FP64" s="50"/>
      <c r="FQ64" s="50"/>
      <c r="FR64" s="50"/>
      <c r="FS64" s="50"/>
      <c r="FT64" s="50"/>
      <c r="FU64" s="50"/>
      <c r="FV64" s="50"/>
      <c r="FW64" s="50"/>
      <c r="FX64" s="50"/>
      <c r="FY64" s="50"/>
      <c r="FZ64" s="50"/>
      <c r="GA64" s="50"/>
      <c r="GB64" s="50"/>
      <c r="GC64" s="50"/>
      <c r="GD64" s="50"/>
      <c r="GE64" s="50"/>
      <c r="GF64" s="50"/>
      <c r="GG64" s="50"/>
      <c r="GH64" s="50"/>
      <c r="GI64" s="50"/>
      <c r="GJ64" s="50"/>
      <c r="GK64" s="50"/>
      <c r="GL64" s="50"/>
      <c r="GM64" s="50"/>
      <c r="GN64" s="50"/>
      <c r="GO64" s="50"/>
      <c r="GP64" s="50"/>
      <c r="GQ64" s="50"/>
      <c r="GR64" s="50"/>
      <c r="GS64" s="50"/>
      <c r="GT64" s="50"/>
      <c r="GU64" s="50"/>
      <c r="GV64" s="50"/>
      <c r="GW64" s="50"/>
      <c r="GX64" s="50"/>
      <c r="GY64" s="50"/>
      <c r="GZ64" s="50"/>
      <c r="HA64" s="50"/>
      <c r="HB64" s="50"/>
      <c r="HC64" s="50"/>
      <c r="HD64" s="50"/>
      <c r="HE64" s="50"/>
      <c r="HF64" s="50"/>
      <c r="HG64" s="50"/>
      <c r="HH64" s="50"/>
      <c r="HI64" s="50"/>
      <c r="HJ64" s="50"/>
      <c r="HK64" s="50"/>
      <c r="HL64" s="50"/>
      <c r="HM64" s="50"/>
      <c r="HN64" s="50"/>
      <c r="HO64" s="50"/>
      <c r="HP64" s="50"/>
      <c r="HQ64" s="50"/>
      <c r="HR64" s="50"/>
      <c r="HS64" s="50"/>
      <c r="HT64" s="50"/>
      <c r="HU64" s="50"/>
      <c r="HV64" s="50"/>
      <c r="HW64" s="50"/>
      <c r="HX64" s="50"/>
      <c r="HY64" s="50"/>
      <c r="HZ64" s="50"/>
      <c r="IA64" s="50"/>
      <c r="IB64" s="50"/>
      <c r="IC64" s="50"/>
      <c r="ID64" s="50"/>
      <c r="IE64" s="50"/>
      <c r="IF64" s="50"/>
      <c r="IG64" s="50"/>
      <c r="IH64" s="50"/>
      <c r="II64" s="50"/>
      <c r="IJ64" s="50"/>
      <c r="IK64" s="50"/>
      <c r="IL64" s="50"/>
      <c r="IM64" s="50"/>
      <c r="IN64" s="50"/>
      <c r="IO64" s="50"/>
      <c r="IP64" s="50"/>
      <c r="IQ64" s="50"/>
      <c r="IR64" s="50"/>
      <c r="IS64" s="50"/>
      <c r="IT64" s="50"/>
      <c r="IU64" s="50"/>
      <c r="IV64" s="50"/>
    </row>
    <row r="65" spans="1:256" s="2" customFormat="1" ht="21" customHeight="1">
      <c r="A65" s="136">
        <v>15</v>
      </c>
      <c r="B65" s="137" t="s">
        <v>62</v>
      </c>
      <c r="C65" s="47">
        <f t="shared" si="1"/>
        <v>387493</v>
      </c>
      <c r="D65" s="252"/>
      <c r="E65" s="252"/>
      <c r="F65" s="252"/>
      <c r="G65" s="252"/>
      <c r="H65" s="252"/>
      <c r="I65" s="252"/>
      <c r="J65" s="47"/>
      <c r="K65" s="47"/>
      <c r="L65" s="47"/>
      <c r="M65" s="47">
        <f t="shared" ref="M65:M78" si="9">+N65+O65</f>
        <v>387493</v>
      </c>
      <c r="N65" s="252">
        <f>+'PL 04'!W603+'PL 03'!W55</f>
        <v>387493</v>
      </c>
      <c r="O65" s="47"/>
      <c r="P65" s="47"/>
      <c r="Q65" s="47"/>
      <c r="R65" s="47"/>
      <c r="S65" s="116">
        <f t="shared" si="3"/>
        <v>0</v>
      </c>
      <c r="T65" s="275"/>
      <c r="U65" s="116">
        <f t="shared" si="4"/>
        <v>0</v>
      </c>
      <c r="V65" s="275"/>
      <c r="W65" s="275"/>
      <c r="X65" s="275"/>
      <c r="Y65" s="275"/>
      <c r="Z65" s="275"/>
      <c r="AA65" s="275"/>
      <c r="AB65" s="275"/>
      <c r="AC65" s="50"/>
      <c r="AD65" s="50"/>
      <c r="AE65" s="50"/>
      <c r="AF65" s="50"/>
      <c r="AG65" s="50"/>
      <c r="AH65" s="50"/>
      <c r="AI65" s="50"/>
      <c r="AJ65" s="50"/>
      <c r="AK65" s="50"/>
      <c r="AL65" s="50"/>
      <c r="AM65" s="50"/>
      <c r="AN65" s="50"/>
      <c r="AO65" s="50"/>
      <c r="AP65" s="50"/>
      <c r="AQ65" s="50"/>
      <c r="AR65" s="50"/>
      <c r="AS65" s="50"/>
      <c r="AT65" s="50"/>
      <c r="AU65" s="50"/>
      <c r="AV65" s="50"/>
      <c r="AW65" s="50"/>
      <c r="AX65" s="50"/>
      <c r="AY65" s="50"/>
      <c r="AZ65" s="50"/>
      <c r="BA65" s="50"/>
      <c r="BB65" s="50"/>
      <c r="BC65" s="50"/>
      <c r="BD65" s="50"/>
      <c r="BE65" s="50"/>
      <c r="BF65" s="50"/>
      <c r="BG65" s="50"/>
      <c r="BH65" s="50"/>
      <c r="BI65" s="50"/>
      <c r="BJ65" s="50"/>
      <c r="BK65" s="50"/>
      <c r="BL65" s="50"/>
      <c r="BM65" s="50"/>
      <c r="BN65" s="50"/>
      <c r="BO65" s="50"/>
      <c r="BP65" s="50"/>
      <c r="BQ65" s="50"/>
      <c r="BR65" s="50"/>
      <c r="BS65" s="50"/>
      <c r="BT65" s="50"/>
      <c r="BU65" s="50"/>
      <c r="BV65" s="50"/>
      <c r="BW65" s="50"/>
      <c r="BX65" s="50"/>
      <c r="BY65" s="50"/>
      <c r="BZ65" s="50"/>
      <c r="CA65" s="50"/>
      <c r="CB65" s="50"/>
      <c r="CC65" s="50"/>
      <c r="CD65" s="50"/>
      <c r="CE65" s="50"/>
      <c r="CF65" s="50"/>
      <c r="CG65" s="50"/>
      <c r="CH65" s="50"/>
      <c r="CI65" s="50"/>
      <c r="CJ65" s="50"/>
      <c r="CK65" s="50"/>
      <c r="CL65" s="50"/>
      <c r="CM65" s="50"/>
      <c r="CN65" s="50"/>
      <c r="CO65" s="50"/>
      <c r="CP65" s="50"/>
      <c r="CQ65" s="50"/>
      <c r="CR65" s="50"/>
      <c r="CS65" s="50"/>
      <c r="CT65" s="50"/>
      <c r="CU65" s="50"/>
      <c r="CV65" s="50"/>
      <c r="CW65" s="50"/>
      <c r="CX65" s="50"/>
      <c r="CY65" s="50"/>
      <c r="CZ65" s="50"/>
      <c r="DA65" s="50"/>
      <c r="DB65" s="50"/>
      <c r="DC65" s="50"/>
      <c r="DD65" s="50"/>
      <c r="DE65" s="50"/>
      <c r="DF65" s="50"/>
      <c r="DG65" s="50"/>
      <c r="DH65" s="50"/>
      <c r="DI65" s="50"/>
      <c r="DJ65" s="50"/>
      <c r="DK65" s="50"/>
      <c r="DL65" s="50"/>
      <c r="DM65" s="50"/>
      <c r="DN65" s="50"/>
      <c r="DO65" s="50"/>
      <c r="DP65" s="50"/>
      <c r="DQ65" s="50"/>
      <c r="DR65" s="50"/>
      <c r="DS65" s="50"/>
      <c r="DT65" s="50"/>
      <c r="DU65" s="50"/>
      <c r="DV65" s="50"/>
      <c r="DW65" s="50"/>
      <c r="DX65" s="50"/>
      <c r="DY65" s="50"/>
      <c r="DZ65" s="50"/>
      <c r="EA65" s="50"/>
      <c r="EB65" s="50"/>
      <c r="EC65" s="50"/>
      <c r="ED65" s="50"/>
      <c r="EE65" s="50"/>
      <c r="EF65" s="50"/>
      <c r="EG65" s="50"/>
      <c r="EH65" s="50"/>
      <c r="EI65" s="50"/>
      <c r="EJ65" s="50"/>
      <c r="EK65" s="50"/>
      <c r="EL65" s="50"/>
      <c r="EM65" s="50"/>
      <c r="EN65" s="50"/>
      <c r="EO65" s="50"/>
      <c r="EP65" s="50"/>
      <c r="EQ65" s="50"/>
      <c r="ER65" s="50"/>
      <c r="ES65" s="50"/>
      <c r="ET65" s="50"/>
      <c r="EU65" s="50"/>
      <c r="EV65" s="50"/>
      <c r="EW65" s="50"/>
      <c r="EX65" s="50"/>
      <c r="EY65" s="50"/>
      <c r="EZ65" s="50"/>
      <c r="FA65" s="50"/>
      <c r="FB65" s="50"/>
      <c r="FC65" s="50"/>
      <c r="FD65" s="50"/>
      <c r="FE65" s="50"/>
      <c r="FF65" s="50"/>
      <c r="FG65" s="50"/>
      <c r="FH65" s="50"/>
      <c r="FI65" s="50"/>
      <c r="FJ65" s="50"/>
      <c r="FK65" s="50"/>
      <c r="FL65" s="50"/>
      <c r="FM65" s="50"/>
      <c r="FN65" s="50"/>
      <c r="FO65" s="50"/>
      <c r="FP65" s="50"/>
      <c r="FQ65" s="50"/>
      <c r="FR65" s="50"/>
      <c r="FS65" s="50"/>
      <c r="FT65" s="50"/>
      <c r="FU65" s="50"/>
      <c r="FV65" s="50"/>
      <c r="FW65" s="50"/>
      <c r="FX65" s="50"/>
      <c r="FY65" s="50"/>
      <c r="FZ65" s="50"/>
      <c r="GA65" s="50"/>
      <c r="GB65" s="50"/>
      <c r="GC65" s="50"/>
      <c r="GD65" s="50"/>
      <c r="GE65" s="50"/>
      <c r="GF65" s="50"/>
      <c r="GG65" s="50"/>
      <c r="GH65" s="50"/>
      <c r="GI65" s="50"/>
      <c r="GJ65" s="50"/>
      <c r="GK65" s="50"/>
      <c r="GL65" s="50"/>
      <c r="GM65" s="50"/>
      <c r="GN65" s="50"/>
      <c r="GO65" s="50"/>
      <c r="GP65" s="50"/>
      <c r="GQ65" s="50"/>
      <c r="GR65" s="50"/>
      <c r="GS65" s="50"/>
      <c r="GT65" s="50"/>
      <c r="GU65" s="50"/>
      <c r="GV65" s="50"/>
      <c r="GW65" s="50"/>
      <c r="GX65" s="50"/>
      <c r="GY65" s="50"/>
      <c r="GZ65" s="50"/>
      <c r="HA65" s="50"/>
      <c r="HB65" s="50"/>
      <c r="HC65" s="50"/>
      <c r="HD65" s="50"/>
      <c r="HE65" s="50"/>
      <c r="HF65" s="50"/>
      <c r="HG65" s="50"/>
      <c r="HH65" s="50"/>
      <c r="HI65" s="50"/>
      <c r="HJ65" s="50"/>
      <c r="HK65" s="50"/>
      <c r="HL65" s="50"/>
      <c r="HM65" s="50"/>
      <c r="HN65" s="50"/>
      <c r="HO65" s="50"/>
      <c r="HP65" s="50"/>
      <c r="HQ65" s="50"/>
      <c r="HR65" s="50"/>
      <c r="HS65" s="50"/>
      <c r="HT65" s="50"/>
      <c r="HU65" s="50"/>
      <c r="HV65" s="50"/>
      <c r="HW65" s="50"/>
      <c r="HX65" s="50"/>
      <c r="HY65" s="50"/>
      <c r="HZ65" s="50"/>
      <c r="IA65" s="50"/>
      <c r="IB65" s="50"/>
      <c r="IC65" s="50"/>
      <c r="ID65" s="50"/>
      <c r="IE65" s="50"/>
      <c r="IF65" s="50"/>
      <c r="IG65" s="50"/>
      <c r="IH65" s="50"/>
      <c r="II65" s="50"/>
      <c r="IJ65" s="50"/>
      <c r="IK65" s="50"/>
      <c r="IL65" s="50"/>
      <c r="IM65" s="50"/>
      <c r="IN65" s="50"/>
      <c r="IO65" s="50"/>
      <c r="IP65" s="50"/>
      <c r="IQ65" s="50"/>
      <c r="IR65" s="50"/>
      <c r="IS65" s="50"/>
      <c r="IT65" s="50"/>
      <c r="IU65" s="50"/>
      <c r="IV65" s="50"/>
    </row>
    <row r="66" spans="1:256" s="2" customFormat="1" ht="26.25" customHeight="1">
      <c r="A66" s="136">
        <v>16</v>
      </c>
      <c r="B66" s="292" t="s">
        <v>1286</v>
      </c>
      <c r="C66" s="47">
        <f t="shared" si="1"/>
        <v>3019238</v>
      </c>
      <c r="D66" s="287"/>
      <c r="E66" s="287"/>
      <c r="F66" s="287"/>
      <c r="G66" s="287"/>
      <c r="H66" s="287"/>
      <c r="I66" s="287"/>
      <c r="J66" s="288"/>
      <c r="K66" s="288"/>
      <c r="L66" s="288"/>
      <c r="M66" s="47">
        <f t="shared" si="9"/>
        <v>3019238</v>
      </c>
      <c r="N66" s="287">
        <f>+'PL 04'!W856+'PL 03'!W83</f>
        <v>3019238</v>
      </c>
      <c r="O66" s="288"/>
      <c r="P66" s="288"/>
      <c r="Q66" s="288"/>
      <c r="R66" s="293"/>
      <c r="S66" s="116">
        <f t="shared" si="3"/>
        <v>0</v>
      </c>
      <c r="T66" s="115"/>
      <c r="U66" s="116">
        <f t="shared" si="4"/>
        <v>0</v>
      </c>
      <c r="V66" s="115"/>
      <c r="W66" s="115"/>
      <c r="X66" s="115"/>
      <c r="Y66" s="115"/>
      <c r="Z66" s="115"/>
      <c r="AA66" s="115"/>
      <c r="AB66" s="115"/>
    </row>
    <row r="67" spans="1:256" s="2" customFormat="1" ht="21" customHeight="1">
      <c r="A67" s="136">
        <v>17</v>
      </c>
      <c r="B67" s="137" t="s">
        <v>515</v>
      </c>
      <c r="C67" s="47">
        <f t="shared" si="1"/>
        <v>392</v>
      </c>
      <c r="D67" s="287"/>
      <c r="E67" s="287"/>
      <c r="F67" s="287"/>
      <c r="G67" s="287"/>
      <c r="H67" s="287"/>
      <c r="I67" s="287"/>
      <c r="J67" s="288"/>
      <c r="K67" s="288"/>
      <c r="L67" s="288"/>
      <c r="M67" s="47">
        <f t="shared" si="9"/>
        <v>392</v>
      </c>
      <c r="N67" s="287"/>
      <c r="O67" s="288">
        <f>+'PL 04'!W392</f>
        <v>392</v>
      </c>
      <c r="P67" s="288"/>
      <c r="Q67" s="288"/>
      <c r="R67" s="288"/>
      <c r="S67" s="116">
        <f t="shared" si="3"/>
        <v>0</v>
      </c>
      <c r="T67" s="115"/>
      <c r="U67" s="116">
        <f t="shared" si="4"/>
        <v>0</v>
      </c>
      <c r="V67" s="115"/>
      <c r="W67" s="115"/>
      <c r="X67" s="115"/>
      <c r="Y67" s="115"/>
      <c r="Z67" s="115"/>
      <c r="AA67" s="115"/>
      <c r="AB67" s="115"/>
    </row>
    <row r="68" spans="1:256" s="2" customFormat="1" ht="21" customHeight="1">
      <c r="A68" s="136">
        <v>18</v>
      </c>
      <c r="B68" s="137" t="s">
        <v>521</v>
      </c>
      <c r="C68" s="47">
        <f t="shared" si="1"/>
        <v>1567</v>
      </c>
      <c r="D68" s="287"/>
      <c r="E68" s="287"/>
      <c r="F68" s="287"/>
      <c r="G68" s="287"/>
      <c r="H68" s="287"/>
      <c r="I68" s="287"/>
      <c r="J68" s="288"/>
      <c r="K68" s="288"/>
      <c r="L68" s="288"/>
      <c r="M68" s="47">
        <f t="shared" si="9"/>
        <v>1567</v>
      </c>
      <c r="N68" s="287"/>
      <c r="O68" s="288">
        <f>+'PL 04'!W400</f>
        <v>1567</v>
      </c>
      <c r="P68" s="288"/>
      <c r="Q68" s="288"/>
      <c r="R68" s="288"/>
      <c r="S68" s="116">
        <f t="shared" si="3"/>
        <v>0</v>
      </c>
      <c r="T68" s="115"/>
      <c r="U68" s="116">
        <f t="shared" si="4"/>
        <v>0</v>
      </c>
      <c r="V68" s="115"/>
      <c r="W68" s="115"/>
      <c r="X68" s="115"/>
      <c r="Y68" s="115"/>
      <c r="Z68" s="115"/>
      <c r="AA68" s="115"/>
      <c r="AB68" s="115"/>
    </row>
    <row r="69" spans="1:256" s="2" customFormat="1" ht="21" customHeight="1">
      <c r="A69" s="136">
        <v>19</v>
      </c>
      <c r="B69" s="137" t="s">
        <v>526</v>
      </c>
      <c r="C69" s="47">
        <f t="shared" si="1"/>
        <v>1685</v>
      </c>
      <c r="D69" s="287"/>
      <c r="E69" s="287"/>
      <c r="F69" s="287"/>
      <c r="G69" s="287"/>
      <c r="H69" s="287"/>
      <c r="I69" s="287"/>
      <c r="J69" s="288"/>
      <c r="K69" s="288"/>
      <c r="L69" s="288"/>
      <c r="M69" s="47">
        <f t="shared" si="9"/>
        <v>1685</v>
      </c>
      <c r="N69" s="287"/>
      <c r="O69" s="288">
        <f>+'PL 04'!W416</f>
        <v>1685</v>
      </c>
      <c r="P69" s="288"/>
      <c r="Q69" s="288"/>
      <c r="R69" s="288"/>
      <c r="S69" s="116">
        <f t="shared" si="3"/>
        <v>0</v>
      </c>
      <c r="T69" s="115"/>
      <c r="U69" s="116">
        <f t="shared" si="4"/>
        <v>0</v>
      </c>
      <c r="V69" s="115"/>
      <c r="W69" s="115"/>
      <c r="X69" s="115"/>
      <c r="Y69" s="115"/>
      <c r="Z69" s="115"/>
      <c r="AA69" s="115"/>
      <c r="AB69" s="115"/>
    </row>
    <row r="70" spans="1:256" s="2" customFormat="1" ht="21" customHeight="1">
      <c r="A70" s="136">
        <v>20</v>
      </c>
      <c r="B70" s="137" t="s">
        <v>538</v>
      </c>
      <c r="C70" s="47">
        <f t="shared" si="1"/>
        <v>144</v>
      </c>
      <c r="D70" s="287"/>
      <c r="E70" s="287"/>
      <c r="F70" s="287"/>
      <c r="G70" s="287"/>
      <c r="H70" s="287"/>
      <c r="I70" s="287"/>
      <c r="J70" s="288"/>
      <c r="K70" s="288"/>
      <c r="L70" s="288"/>
      <c r="M70" s="47">
        <f t="shared" si="9"/>
        <v>144</v>
      </c>
      <c r="N70" s="287"/>
      <c r="O70" s="288">
        <f>+'PL 04'!W437</f>
        <v>144</v>
      </c>
      <c r="P70" s="288"/>
      <c r="Q70" s="288"/>
      <c r="R70" s="288"/>
      <c r="S70" s="116">
        <f t="shared" si="3"/>
        <v>0</v>
      </c>
      <c r="T70" s="115"/>
      <c r="U70" s="116">
        <f t="shared" si="4"/>
        <v>0</v>
      </c>
      <c r="V70" s="115"/>
      <c r="W70" s="115"/>
      <c r="X70" s="115"/>
      <c r="Y70" s="115"/>
      <c r="Z70" s="115"/>
      <c r="AA70" s="115"/>
      <c r="AB70" s="115"/>
    </row>
    <row r="71" spans="1:256" s="2" customFormat="1" ht="21" customHeight="1">
      <c r="A71" s="136">
        <v>21</v>
      </c>
      <c r="B71" s="137" t="s">
        <v>558</v>
      </c>
      <c r="C71" s="47">
        <f t="shared" ref="C71:C75" si="10">SUM(D71:M71)+SUM(P71:R71)</f>
        <v>114</v>
      </c>
      <c r="D71" s="287"/>
      <c r="E71" s="287"/>
      <c r="F71" s="287"/>
      <c r="G71" s="287"/>
      <c r="H71" s="287"/>
      <c r="I71" s="287"/>
      <c r="J71" s="288"/>
      <c r="K71" s="288"/>
      <c r="L71" s="288"/>
      <c r="M71" s="47">
        <f t="shared" si="9"/>
        <v>114</v>
      </c>
      <c r="N71" s="287"/>
      <c r="O71" s="288">
        <f>+'PL 04'!W475</f>
        <v>114</v>
      </c>
      <c r="P71" s="288"/>
      <c r="Q71" s="288"/>
      <c r="R71" s="288"/>
      <c r="S71" s="116">
        <f t="shared" ref="S71:S79" si="11">+M71-N71-O71</f>
        <v>0</v>
      </c>
      <c r="T71" s="115"/>
      <c r="U71" s="116">
        <f t="shared" ref="U71:U81" si="12">+M71-N71-O71</f>
        <v>0</v>
      </c>
      <c r="V71" s="115"/>
      <c r="W71" s="115"/>
      <c r="X71" s="115"/>
      <c r="Y71" s="115"/>
      <c r="Z71" s="115"/>
      <c r="AA71" s="115"/>
      <c r="AB71" s="115"/>
    </row>
    <row r="72" spans="1:256" s="2" customFormat="1" ht="21" customHeight="1">
      <c r="A72" s="136">
        <v>22</v>
      </c>
      <c r="B72" s="139" t="s">
        <v>1208</v>
      </c>
      <c r="C72" s="47">
        <f t="shared" si="10"/>
        <v>783</v>
      </c>
      <c r="D72" s="287"/>
      <c r="E72" s="287"/>
      <c r="F72" s="287"/>
      <c r="G72" s="287"/>
      <c r="H72" s="287"/>
      <c r="I72" s="287"/>
      <c r="J72" s="288"/>
      <c r="K72" s="288"/>
      <c r="L72" s="288"/>
      <c r="M72" s="47">
        <f t="shared" si="9"/>
        <v>783</v>
      </c>
      <c r="N72" s="287"/>
      <c r="O72" s="288">
        <f>+'PL 04'!W566</f>
        <v>783</v>
      </c>
      <c r="P72" s="288"/>
      <c r="Q72" s="288"/>
      <c r="R72" s="288"/>
      <c r="S72" s="116">
        <f t="shared" si="11"/>
        <v>0</v>
      </c>
      <c r="T72" s="115"/>
      <c r="U72" s="116">
        <f t="shared" si="12"/>
        <v>0</v>
      </c>
      <c r="V72" s="115"/>
      <c r="W72" s="115"/>
      <c r="X72" s="115"/>
      <c r="Y72" s="115"/>
      <c r="Z72" s="115"/>
      <c r="AA72" s="115"/>
      <c r="AB72" s="115"/>
    </row>
    <row r="73" spans="1:256" s="2" customFormat="1" ht="21" customHeight="1">
      <c r="A73" s="136">
        <v>23</v>
      </c>
      <c r="B73" s="292" t="s">
        <v>1253</v>
      </c>
      <c r="C73" s="47">
        <f t="shared" si="10"/>
        <v>250000</v>
      </c>
      <c r="D73" s="287"/>
      <c r="E73" s="287"/>
      <c r="F73" s="287"/>
      <c r="G73" s="287"/>
      <c r="H73" s="287"/>
      <c r="I73" s="287"/>
      <c r="J73" s="288"/>
      <c r="K73" s="288"/>
      <c r="L73" s="288"/>
      <c r="M73" s="47">
        <f t="shared" si="9"/>
        <v>0</v>
      </c>
      <c r="N73" s="287"/>
      <c r="O73" s="288"/>
      <c r="P73" s="288"/>
      <c r="Q73" s="293">
        <f>+'PL 04'!W996</f>
        <v>250000</v>
      </c>
      <c r="R73" s="293"/>
      <c r="S73" s="116">
        <f t="shared" si="11"/>
        <v>0</v>
      </c>
      <c r="T73" s="115"/>
      <c r="U73" s="116">
        <f t="shared" si="12"/>
        <v>0</v>
      </c>
      <c r="V73" s="115"/>
      <c r="W73" s="115"/>
      <c r="X73" s="115"/>
      <c r="Y73" s="115"/>
      <c r="Z73" s="115"/>
      <c r="AA73" s="115"/>
      <c r="AB73" s="115"/>
    </row>
    <row r="74" spans="1:256" s="2" customFormat="1" ht="21" customHeight="1">
      <c r="A74" s="136">
        <v>24</v>
      </c>
      <c r="B74" s="290" t="s">
        <v>1271</v>
      </c>
      <c r="C74" s="47">
        <f t="shared" si="10"/>
        <v>83917</v>
      </c>
      <c r="D74" s="287"/>
      <c r="E74" s="287"/>
      <c r="F74" s="287"/>
      <c r="G74" s="287"/>
      <c r="H74" s="287"/>
      <c r="I74" s="287"/>
      <c r="J74" s="288"/>
      <c r="K74" s="288"/>
      <c r="L74" s="288"/>
      <c r="M74" s="47">
        <f t="shared" si="9"/>
        <v>83917</v>
      </c>
      <c r="N74" s="287">
        <f>+'PL 04'!W862</f>
        <v>83917</v>
      </c>
      <c r="O74" s="288"/>
      <c r="P74" s="288"/>
      <c r="Q74" s="288"/>
      <c r="R74" s="288"/>
      <c r="S74" s="116">
        <f t="shared" si="11"/>
        <v>0</v>
      </c>
      <c r="T74" s="115"/>
      <c r="U74" s="116">
        <f t="shared" si="12"/>
        <v>0</v>
      </c>
      <c r="V74" s="115"/>
      <c r="W74" s="115"/>
      <c r="X74" s="115"/>
      <c r="Y74" s="115"/>
      <c r="Z74" s="115"/>
      <c r="AA74" s="115"/>
      <c r="AB74" s="115"/>
    </row>
    <row r="75" spans="1:256" s="2" customFormat="1" ht="21" customHeight="1">
      <c r="A75" s="136">
        <v>25</v>
      </c>
      <c r="B75" s="290" t="s">
        <v>1609</v>
      </c>
      <c r="C75" s="47">
        <f t="shared" si="10"/>
        <v>0</v>
      </c>
      <c r="D75" s="287"/>
      <c r="E75" s="287"/>
      <c r="F75" s="287"/>
      <c r="G75" s="287"/>
      <c r="H75" s="287"/>
      <c r="I75" s="287"/>
      <c r="J75" s="288"/>
      <c r="K75" s="288"/>
      <c r="L75" s="288"/>
      <c r="M75" s="47">
        <f t="shared" si="9"/>
        <v>0</v>
      </c>
      <c r="N75" s="287"/>
      <c r="O75" s="288"/>
      <c r="P75" s="288"/>
      <c r="Q75" s="288"/>
      <c r="R75" s="288"/>
      <c r="S75" s="116">
        <f t="shared" si="11"/>
        <v>0</v>
      </c>
      <c r="T75" s="115"/>
      <c r="U75" s="116">
        <f>+M9-11295638</f>
        <v>313204.99500000104</v>
      </c>
      <c r="V75" s="115"/>
      <c r="W75" s="115"/>
      <c r="X75" s="115"/>
      <c r="Y75" s="115"/>
      <c r="Z75" s="115"/>
      <c r="AA75" s="115"/>
      <c r="AB75" s="115"/>
    </row>
    <row r="76" spans="1:256" s="2" customFormat="1" ht="21" customHeight="1">
      <c r="A76" s="136">
        <v>26</v>
      </c>
      <c r="B76" s="292" t="s">
        <v>248</v>
      </c>
      <c r="C76" s="47">
        <f>'PL 04'!W1004</f>
        <v>50000</v>
      </c>
      <c r="D76" s="287"/>
      <c r="E76" s="287"/>
      <c r="F76" s="287"/>
      <c r="G76" s="287"/>
      <c r="H76" s="287"/>
      <c r="I76" s="287"/>
      <c r="J76" s="288"/>
      <c r="K76" s="288"/>
      <c r="L76" s="288"/>
      <c r="M76" s="47">
        <f t="shared" si="9"/>
        <v>0</v>
      </c>
      <c r="N76" s="287"/>
      <c r="O76" s="288"/>
      <c r="P76" s="288"/>
      <c r="Q76" s="288"/>
      <c r="R76" s="293">
        <v>50000</v>
      </c>
      <c r="S76" s="116">
        <f t="shared" si="11"/>
        <v>0</v>
      </c>
      <c r="T76" s="115"/>
      <c r="U76" s="116">
        <f t="shared" si="12"/>
        <v>0</v>
      </c>
      <c r="V76" s="115"/>
      <c r="W76" s="115"/>
      <c r="X76" s="115"/>
      <c r="Y76" s="115"/>
      <c r="Z76" s="115"/>
      <c r="AA76" s="115"/>
      <c r="AB76" s="115"/>
    </row>
    <row r="77" spans="1:256" s="2" customFormat="1" ht="21" customHeight="1">
      <c r="A77" s="136">
        <v>27</v>
      </c>
      <c r="B77" s="292" t="s">
        <v>1373</v>
      </c>
      <c r="C77" s="47">
        <f>+D77+E77+F77+G77+H77+I77+J77+K77+L77+M77+P77+Q77+R77</f>
        <v>1037255</v>
      </c>
      <c r="D77" s="287">
        <f>+'PL 05'!Y14</f>
        <v>141000</v>
      </c>
      <c r="E77" s="287"/>
      <c r="F77" s="287">
        <f>+'PL 05'!Y26</f>
        <v>6000</v>
      </c>
      <c r="G77" s="287">
        <f>+'PL 05'!Y23</f>
        <v>20000</v>
      </c>
      <c r="H77" s="287">
        <f>+'PL 05'!Y10</f>
        <v>70000</v>
      </c>
      <c r="I77" s="287">
        <f>+'PL 05'!Y21</f>
        <v>10000</v>
      </c>
      <c r="J77" s="288"/>
      <c r="K77" s="288"/>
      <c r="L77" s="288"/>
      <c r="M77" s="47">
        <f>+N77+O77+'PL 05'!Y49</f>
        <v>790255</v>
      </c>
      <c r="N77" s="287">
        <f>+'PL 05'!Y29</f>
        <v>615255</v>
      </c>
      <c r="O77" s="288">
        <f>+'PL 05'!Y39</f>
        <v>125000</v>
      </c>
      <c r="P77" s="293"/>
      <c r="Q77" s="293"/>
      <c r="R77" s="293"/>
      <c r="S77" s="116">
        <f t="shared" si="11"/>
        <v>50000</v>
      </c>
      <c r="T77" s="115"/>
      <c r="U77" s="116">
        <f t="shared" si="12"/>
        <v>50000</v>
      </c>
      <c r="V77" s="115"/>
      <c r="W77" s="115"/>
      <c r="X77" s="115"/>
      <c r="Y77" s="115"/>
      <c r="Z77" s="115"/>
      <c r="AA77" s="115"/>
      <c r="AB77" s="115"/>
    </row>
    <row r="78" spans="1:256" s="2" customFormat="1" ht="21" customHeight="1">
      <c r="A78" s="136">
        <v>28</v>
      </c>
      <c r="B78" s="292" t="s">
        <v>1228</v>
      </c>
      <c r="C78" s="47">
        <f>'PL 04'!W1006</f>
        <v>40600</v>
      </c>
      <c r="D78" s="287"/>
      <c r="E78" s="287"/>
      <c r="F78" s="287"/>
      <c r="G78" s="287"/>
      <c r="H78" s="287"/>
      <c r="I78" s="287"/>
      <c r="J78" s="288"/>
      <c r="K78" s="288"/>
      <c r="L78" s="288"/>
      <c r="M78" s="47">
        <f t="shared" si="9"/>
        <v>0</v>
      </c>
      <c r="N78" s="287"/>
      <c r="O78" s="288"/>
      <c r="P78" s="288"/>
      <c r="Q78" s="288"/>
      <c r="R78" s="47">
        <v>40600</v>
      </c>
      <c r="S78" s="116">
        <f t="shared" si="11"/>
        <v>0</v>
      </c>
      <c r="T78" s="115"/>
      <c r="U78" s="116">
        <f t="shared" si="12"/>
        <v>0</v>
      </c>
      <c r="V78" s="115"/>
      <c r="W78" s="115"/>
      <c r="X78" s="115"/>
      <c r="Y78" s="115"/>
      <c r="Z78" s="115"/>
      <c r="AA78" s="115"/>
      <c r="AB78" s="115"/>
    </row>
    <row r="79" spans="1:256" s="2" customFormat="1" ht="21" customHeight="1">
      <c r="A79" s="136">
        <v>29</v>
      </c>
      <c r="B79" s="292" t="s">
        <v>1662</v>
      </c>
      <c r="C79" s="47">
        <f>'PL 04'!W1005</f>
        <v>100000</v>
      </c>
      <c r="D79" s="287"/>
      <c r="E79" s="287"/>
      <c r="F79" s="287"/>
      <c r="G79" s="287"/>
      <c r="H79" s="287"/>
      <c r="I79" s="287"/>
      <c r="J79" s="288"/>
      <c r="K79" s="288"/>
      <c r="L79" s="288"/>
      <c r="M79" s="47"/>
      <c r="N79" s="287"/>
      <c r="O79" s="288"/>
      <c r="P79" s="288"/>
      <c r="Q79" s="288"/>
      <c r="R79" s="47">
        <v>100000</v>
      </c>
      <c r="S79" s="116">
        <f t="shared" si="11"/>
        <v>0</v>
      </c>
      <c r="T79" s="115"/>
      <c r="U79" s="116">
        <f t="shared" si="12"/>
        <v>0</v>
      </c>
      <c r="V79" s="115"/>
      <c r="W79" s="115"/>
      <c r="X79" s="115"/>
      <c r="Y79" s="115"/>
      <c r="Z79" s="115"/>
      <c r="AA79" s="115"/>
      <c r="AB79" s="115"/>
    </row>
    <row r="80" spans="1:256" s="2" customFormat="1" ht="21" customHeight="1">
      <c r="A80" s="136">
        <v>30</v>
      </c>
      <c r="B80" s="292" t="s">
        <v>1247</v>
      </c>
      <c r="C80" s="47">
        <f>'PL 04'!W12</f>
        <v>500000</v>
      </c>
      <c r="D80" s="287">
        <v>159466</v>
      </c>
      <c r="E80" s="287">
        <v>107910</v>
      </c>
      <c r="F80" s="287">
        <v>8531</v>
      </c>
      <c r="G80" s="287">
        <v>11468</v>
      </c>
      <c r="H80" s="287">
        <f>144000-87465-910</f>
        <v>55625</v>
      </c>
      <c r="I80" s="287">
        <v>10000</v>
      </c>
      <c r="J80" s="287">
        <v>10000</v>
      </c>
      <c r="K80" s="287">
        <v>10000</v>
      </c>
      <c r="L80" s="287">
        <v>7000</v>
      </c>
      <c r="M80" s="47"/>
      <c r="N80" s="287"/>
      <c r="O80" s="288"/>
      <c r="P80" s="288">
        <v>20000</v>
      </c>
      <c r="Q80" s="288">
        <v>100000</v>
      </c>
      <c r="R80" s="293"/>
      <c r="S80" s="116">
        <f>+D80+E80+H80+F80+G80+I80+J80+K80+L80+P80+Q80+R80+M80</f>
        <v>500000</v>
      </c>
      <c r="T80" s="335">
        <f>+C80-S80</f>
        <v>0</v>
      </c>
      <c r="U80" s="116">
        <f t="shared" si="12"/>
        <v>0</v>
      </c>
      <c r="V80" s="115"/>
      <c r="W80" s="115"/>
      <c r="X80" s="115"/>
      <c r="Y80" s="115"/>
      <c r="Z80" s="115"/>
      <c r="AA80" s="115"/>
      <c r="AB80" s="115"/>
    </row>
    <row r="81" spans="1:28" s="2" customFormat="1" ht="36" customHeight="1">
      <c r="A81" s="282">
        <v>31</v>
      </c>
      <c r="B81" s="340" t="s">
        <v>1864</v>
      </c>
      <c r="C81" s="283">
        <f>+'PL 04'!W1008</f>
        <v>190000</v>
      </c>
      <c r="D81" s="294">
        <f>50000-50000</f>
        <v>0</v>
      </c>
      <c r="E81" s="294">
        <v>26000</v>
      </c>
      <c r="F81" s="294"/>
      <c r="G81" s="294"/>
      <c r="H81" s="294">
        <v>50000</v>
      </c>
      <c r="I81" s="294">
        <v>10000</v>
      </c>
      <c r="J81" s="295">
        <v>10000</v>
      </c>
      <c r="K81" s="295">
        <v>10000</v>
      </c>
      <c r="L81" s="295"/>
      <c r="M81" s="283"/>
      <c r="N81" s="294"/>
      <c r="O81" s="295"/>
      <c r="P81" s="295">
        <f>50000-33000</f>
        <v>17000</v>
      </c>
      <c r="Q81" s="295">
        <f>50000-33000</f>
        <v>17000</v>
      </c>
      <c r="R81" s="296">
        <v>50000</v>
      </c>
      <c r="S81" s="893"/>
      <c r="T81" s="894"/>
      <c r="U81" s="116">
        <f t="shared" si="12"/>
        <v>0</v>
      </c>
      <c r="V81" s="115"/>
      <c r="W81" s="115"/>
      <c r="X81" s="115"/>
      <c r="Y81" s="115"/>
      <c r="Z81" s="115"/>
      <c r="AA81" s="115"/>
      <c r="AB81" s="115"/>
    </row>
    <row r="82" spans="1:28" s="122" customFormat="1" ht="45.75" customHeight="1">
      <c r="A82" s="298">
        <v>32</v>
      </c>
      <c r="B82" s="299" t="s">
        <v>1828</v>
      </c>
      <c r="C82" s="300">
        <v>604745</v>
      </c>
      <c r="D82" s="297"/>
      <c r="E82" s="297"/>
      <c r="F82" s="297"/>
      <c r="G82" s="297"/>
      <c r="H82" s="297"/>
      <c r="I82" s="297"/>
      <c r="J82" s="297"/>
      <c r="K82" s="297"/>
      <c r="L82" s="297"/>
      <c r="M82" s="336">
        <v>604745</v>
      </c>
      <c r="N82" s="300">
        <v>604745</v>
      </c>
      <c r="O82" s="297"/>
      <c r="P82" s="297"/>
      <c r="Q82" s="297"/>
      <c r="R82" s="300"/>
      <c r="S82" s="277"/>
      <c r="T82" s="276"/>
      <c r="U82" s="277"/>
      <c r="V82" s="276"/>
      <c r="W82" s="276"/>
      <c r="X82" s="276"/>
      <c r="Y82" s="276"/>
      <c r="Z82" s="276"/>
      <c r="AA82" s="276"/>
      <c r="AB82" s="276"/>
    </row>
    <row r="83" spans="1:28" s="276" customFormat="1" ht="19.5" customHeight="1">
      <c r="A83" s="278"/>
      <c r="C83" s="277"/>
      <c r="D83" s="337">
        <f>766584-D9</f>
        <v>54000</v>
      </c>
      <c r="E83" s="279">
        <f>+E9-290100</f>
        <v>-0.40000000002328306</v>
      </c>
      <c r="F83" s="279"/>
      <c r="G83" s="279"/>
      <c r="H83" s="279">
        <f>340985-H9</f>
        <v>114374.75951157475</v>
      </c>
      <c r="I83" s="279"/>
      <c r="J83" s="279"/>
      <c r="K83" s="279"/>
      <c r="L83" s="279"/>
      <c r="M83" s="279"/>
      <c r="N83" s="279"/>
      <c r="O83" s="279"/>
      <c r="P83" s="279"/>
      <c r="Q83" s="279"/>
      <c r="R83" s="279"/>
      <c r="S83" s="277"/>
      <c r="U83" s="277"/>
    </row>
    <row r="84" spans="1:28" s="276" customFormat="1" ht="19.5" customHeight="1">
      <c r="A84" s="278"/>
      <c r="C84" s="277"/>
      <c r="D84" s="279">
        <f>+D83-D9</f>
        <v>-658584</v>
      </c>
      <c r="E84" s="279">
        <f>+E83-E9</f>
        <v>-290100</v>
      </c>
      <c r="F84" s="279"/>
      <c r="G84" s="279"/>
      <c r="H84" s="279">
        <f>+H83-H9</f>
        <v>-112235.48097685049</v>
      </c>
      <c r="I84" s="279"/>
      <c r="J84" s="279"/>
      <c r="K84" s="279"/>
      <c r="L84" s="279"/>
      <c r="M84" s="277"/>
      <c r="N84" s="279"/>
      <c r="O84" s="279"/>
      <c r="P84" s="279"/>
      <c r="Q84" s="279"/>
      <c r="R84" s="280"/>
      <c r="S84" s="277"/>
      <c r="U84" s="277"/>
    </row>
    <row r="85" spans="1:28" s="276" customFormat="1" ht="19.5" customHeight="1">
      <c r="A85" s="278"/>
      <c r="C85" s="277"/>
      <c r="D85" s="279">
        <f>+D9-D81-D80-D77</f>
        <v>412118</v>
      </c>
      <c r="E85" s="279"/>
      <c r="F85" s="279"/>
      <c r="G85" s="279"/>
      <c r="H85" s="279"/>
      <c r="I85" s="279"/>
      <c r="J85" s="279"/>
      <c r="K85" s="279"/>
      <c r="L85" s="279"/>
      <c r="M85" s="277"/>
      <c r="N85" s="279"/>
      <c r="O85" s="279"/>
      <c r="P85" s="279"/>
      <c r="Q85" s="279"/>
      <c r="R85" s="280"/>
      <c r="S85" s="277"/>
      <c r="U85" s="277"/>
    </row>
    <row r="86" spans="1:28" s="258" customFormat="1" ht="21" customHeight="1">
      <c r="C86" s="254">
        <f>'01'!J9</f>
        <v>13938202</v>
      </c>
      <c r="D86" s="255">
        <v>5.5</v>
      </c>
      <c r="E86" s="255">
        <v>290100</v>
      </c>
      <c r="F86" s="255">
        <v>0.3198402747628824</v>
      </c>
      <c r="G86" s="255">
        <v>0.23015765112527159</v>
      </c>
      <c r="H86" s="255">
        <v>2.9999998877285328</v>
      </c>
      <c r="I86" s="255">
        <v>1.0000025009306195</v>
      </c>
      <c r="J86" s="255">
        <v>0.11999816789394299</v>
      </c>
      <c r="K86" s="255">
        <v>0.11999816789394299</v>
      </c>
      <c r="L86" s="255">
        <v>1.1999969090660823</v>
      </c>
      <c r="M86" s="255">
        <v>70.000037994003478</v>
      </c>
      <c r="N86" s="255">
        <v>60.271528067592243</v>
      </c>
      <c r="O86" s="255">
        <v>9.3269143317785019</v>
      </c>
      <c r="P86" s="255">
        <v>0.59999845453304135</v>
      </c>
      <c r="Q86" s="255">
        <v>3.500004945725506</v>
      </c>
      <c r="R86" s="255">
        <v>11.909959042145379</v>
      </c>
    </row>
    <row r="87" spans="1:28" s="258" customFormat="1" ht="21" customHeight="1">
      <c r="C87" s="254"/>
      <c r="D87" s="259">
        <f>(+C9*D86)/100</f>
        <v>766601.11327186332</v>
      </c>
      <c r="E87" s="259">
        <f>(+C9*E86)/100</f>
        <v>40434724174.57592</v>
      </c>
      <c r="F87" s="259">
        <f>(C9*F86)/100</f>
        <v>44579.983764073513</v>
      </c>
      <c r="G87" s="259">
        <f>(C9*G86)/100</f>
        <v>32079.838469212791</v>
      </c>
      <c r="H87" s="259">
        <f>(C9*H86)/100</f>
        <v>418146.04613602877</v>
      </c>
      <c r="I87" s="259">
        <f>(C9*I86)/100</f>
        <v>139382.36917964736</v>
      </c>
      <c r="J87" s="259">
        <f>(C9*J86)/100</f>
        <v>16725.58710874194</v>
      </c>
      <c r="K87" s="259">
        <f>(C9*K86)/100</f>
        <v>16725.58710874194</v>
      </c>
      <c r="L87" s="259">
        <f>(C9*L86)/100</f>
        <v>167257.99389324611</v>
      </c>
      <c r="M87" s="259">
        <f>(C9*M86)/100</f>
        <v>9756746.7373228725</v>
      </c>
      <c r="N87" s="259">
        <f>(C9*N86)/100</f>
        <v>8400767.366402287</v>
      </c>
      <c r="O87" s="259">
        <f>(C9*O86)/100</f>
        <v>1300004.1654786721</v>
      </c>
      <c r="P87" s="259">
        <f>(C9*P86)/100</f>
        <v>83628.996946623098</v>
      </c>
      <c r="Q87" s="259">
        <f>(C9*Q86)/100</f>
        <v>487837.76142730919</v>
      </c>
      <c r="R87" s="259">
        <f>(C9*R86)/100</f>
        <v>1660034.1564965353</v>
      </c>
    </row>
    <row r="88" spans="1:28" s="258" customFormat="1" ht="21" customHeight="1">
      <c r="C88" s="254"/>
      <c r="D88" s="254">
        <f t="shared" ref="D88:R88" si="13">+D9-D87</f>
        <v>-54017.113271863316</v>
      </c>
      <c r="E88" s="254">
        <f t="shared" si="13"/>
        <v>-40434434074.975922</v>
      </c>
      <c r="F88" s="254">
        <f t="shared" si="13"/>
        <v>-8047.9837640735132</v>
      </c>
      <c r="G88" s="254">
        <f t="shared" si="13"/>
        <v>-0.44146921279025264</v>
      </c>
      <c r="H88" s="254">
        <f t="shared" si="13"/>
        <v>-191535.80564760353</v>
      </c>
      <c r="I88" s="254">
        <f t="shared" si="13"/>
        <v>9545.0308203526365</v>
      </c>
      <c r="J88" s="254">
        <f t="shared" si="13"/>
        <v>23285.41289125806</v>
      </c>
      <c r="K88" s="254">
        <f t="shared" si="13"/>
        <v>18274.41289125806</v>
      </c>
      <c r="L88" s="254">
        <f t="shared" si="13"/>
        <v>-97193.993893246108</v>
      </c>
      <c r="M88" s="254">
        <f t="shared" si="13"/>
        <v>1852096.2576771285</v>
      </c>
      <c r="N88" s="254">
        <f t="shared" si="13"/>
        <v>922954.52859771252</v>
      </c>
      <c r="O88" s="254">
        <f t="shared" si="13"/>
        <v>87584.934521327959</v>
      </c>
      <c r="P88" s="254">
        <f t="shared" si="13"/>
        <v>-4336.5699466231017</v>
      </c>
      <c r="Q88" s="254">
        <f t="shared" si="13"/>
        <v>-70278.761427309189</v>
      </c>
      <c r="R88" s="254">
        <f t="shared" si="13"/>
        <v>-1419434.1564965353</v>
      </c>
      <c r="S88" s="254"/>
    </row>
    <row r="89" spans="1:28" s="258" customFormat="1" ht="20.25" customHeight="1">
      <c r="C89" s="254"/>
      <c r="F89" s="258">
        <v>47000</v>
      </c>
      <c r="G89" s="258">
        <v>35000</v>
      </c>
    </row>
    <row r="90" spans="1:28" s="258" customFormat="1" ht="21" customHeight="1">
      <c r="G90" s="254"/>
    </row>
    <row r="92" spans="1:28" ht="21" customHeight="1">
      <c r="C92" s="1151"/>
    </row>
  </sheetData>
  <mergeCells count="23">
    <mergeCell ref="A6:A7"/>
    <mergeCell ref="B6:B7"/>
    <mergeCell ref="C6:C7"/>
    <mergeCell ref="D6:D7"/>
    <mergeCell ref="E6:E7"/>
    <mergeCell ref="O1:R1"/>
    <mergeCell ref="P5:R5"/>
    <mergeCell ref="A2:R2"/>
    <mergeCell ref="A3:R3"/>
    <mergeCell ref="A4:R4"/>
    <mergeCell ref="E1:L1"/>
    <mergeCell ref="R6:R7"/>
    <mergeCell ref="F6:F7"/>
    <mergeCell ref="G6:G7"/>
    <mergeCell ref="H6:H7"/>
    <mergeCell ref="I6:I7"/>
    <mergeCell ref="J6:J7"/>
    <mergeCell ref="K6:K7"/>
    <mergeCell ref="L6:L7"/>
    <mergeCell ref="M6:M7"/>
    <mergeCell ref="N6:O6"/>
    <mergeCell ref="P6:P7"/>
    <mergeCell ref="Q6:Q7"/>
  </mergeCells>
  <phoneticPr fontId="25" type="noConversion"/>
  <conditionalFormatting sqref="B1:B81 B83:B1048576">
    <cfRule type="duplicateValues" dxfId="20" priority="3"/>
    <cfRule type="duplicateValues" dxfId="19" priority="4"/>
  </conditionalFormatting>
  <conditionalFormatting sqref="B11">
    <cfRule type="duplicateValues" dxfId="18" priority="12" stopIfTrue="1"/>
  </conditionalFormatting>
  <conditionalFormatting sqref="B18">
    <cfRule type="duplicateValues" dxfId="17" priority="14" stopIfTrue="1"/>
  </conditionalFormatting>
  <conditionalFormatting sqref="B19:B20">
    <cfRule type="duplicateValues" dxfId="16" priority="13" stopIfTrue="1"/>
  </conditionalFormatting>
  <conditionalFormatting sqref="B21:B22">
    <cfRule type="duplicateValues" dxfId="15" priority="9" stopIfTrue="1"/>
  </conditionalFormatting>
  <conditionalFormatting sqref="B23">
    <cfRule type="duplicateValues" dxfId="14" priority="6" stopIfTrue="1"/>
  </conditionalFormatting>
  <conditionalFormatting sqref="B71">
    <cfRule type="duplicateValues" dxfId="13" priority="15" stopIfTrue="1"/>
  </conditionalFormatting>
  <conditionalFormatting sqref="B72">
    <cfRule type="duplicateValues" dxfId="12" priority="94" stopIfTrue="1"/>
  </conditionalFormatting>
  <conditionalFormatting sqref="B74:B75 B24:B27 B29">
    <cfRule type="duplicateValues" dxfId="11" priority="21" stopIfTrue="1"/>
  </conditionalFormatting>
  <conditionalFormatting sqref="B82">
    <cfRule type="duplicateValues" dxfId="10" priority="1"/>
    <cfRule type="duplicateValues" dxfId="9" priority="2"/>
  </conditionalFormatting>
  <printOptions horizontalCentered="1"/>
  <pageMargins left="0.31496062992125984" right="0.31496062992125984" top="0.59055118110236227" bottom="0.31496062992125984" header="0.19685039370078741" footer="0.19685039370078741"/>
  <pageSetup paperSize="9" scale="55" fitToHeight="0" orientation="landscape" verticalDpi="300"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48"/>
  <sheetViews>
    <sheetView showZeros="0" zoomScale="82" zoomScaleNormal="82" workbookViewId="0">
      <selection activeCell="L14" sqref="L14"/>
    </sheetView>
  </sheetViews>
  <sheetFormatPr defaultColWidth="10.42578125" defaultRowHeight="43.5" customHeight="1"/>
  <cols>
    <col min="1" max="1" width="5.7109375" style="146" customWidth="1"/>
    <col min="2" max="2" width="33" style="146" customWidth="1"/>
    <col min="3" max="3" width="20.28515625" style="152" hidden="1" customWidth="1"/>
    <col min="4" max="5" width="10.42578125" style="146" hidden="1" customWidth="1"/>
    <col min="6" max="6" width="9.5703125" style="146" customWidth="1"/>
    <col min="7" max="7" width="8.5703125" style="146" customWidth="1"/>
    <col min="8" max="8" width="9.5703125" style="146" customWidth="1"/>
    <col min="9" max="9" width="16" style="152" customWidth="1"/>
    <col min="10" max="10" width="12.7109375" style="146" customWidth="1"/>
    <col min="11" max="11" width="11.140625" style="146" customWidth="1"/>
    <col min="12" max="12" width="11.85546875" style="146" customWidth="1"/>
    <col min="13" max="13" width="11.28515625" style="146" customWidth="1"/>
    <col min="14" max="14" width="11.42578125" style="146" bestFit="1" customWidth="1"/>
    <col min="15" max="15" width="10" style="146" customWidth="1"/>
    <col min="16" max="16" width="12.85546875" style="146" customWidth="1"/>
    <col min="17" max="17" width="11" style="146" customWidth="1"/>
    <col min="18" max="18" width="11.42578125" style="146" bestFit="1" customWidth="1"/>
    <col min="19" max="19" width="8.7109375" style="146" customWidth="1"/>
    <col min="20" max="20" width="12.28515625" style="146" customWidth="1"/>
    <col min="21" max="21" width="10.5703125" style="146" customWidth="1"/>
    <col min="22" max="22" width="11.5703125" style="146" customWidth="1"/>
    <col min="23" max="23" width="13" style="146" customWidth="1"/>
    <col min="24" max="24" width="16" style="152" customWidth="1"/>
    <col min="25" max="160" width="10.28515625" style="146" customWidth="1"/>
    <col min="161" max="161" width="4.7109375" style="146" customWidth="1"/>
    <col min="162" max="162" width="37" style="146" customWidth="1"/>
    <col min="163" max="165" width="9.5703125" style="146" customWidth="1"/>
    <col min="166" max="166" width="14.140625" style="146" customWidth="1"/>
    <col min="167" max="16384" width="10.42578125" style="146"/>
  </cols>
  <sheetData>
    <row r="1" spans="1:24" s="144" customFormat="1" ht="43.5" customHeight="1">
      <c r="A1" s="153"/>
      <c r="B1" s="156"/>
      <c r="C1" s="156"/>
      <c r="D1" s="156"/>
      <c r="E1" s="154"/>
      <c r="F1" s="154"/>
      <c r="G1" s="154"/>
      <c r="H1" s="154"/>
      <c r="I1" s="155"/>
      <c r="J1" s="154"/>
      <c r="K1" s="154"/>
      <c r="L1" s="154"/>
      <c r="M1" s="154"/>
      <c r="N1" s="154"/>
      <c r="O1" s="154"/>
      <c r="P1" s="154"/>
      <c r="Q1" s="154"/>
      <c r="R1" s="154"/>
      <c r="S1" s="154"/>
      <c r="T1" s="154"/>
      <c r="U1" s="1102" t="s">
        <v>1866</v>
      </c>
      <c r="V1" s="1102"/>
      <c r="W1" s="1102"/>
      <c r="X1" s="1102"/>
    </row>
    <row r="2" spans="1:24" ht="24.75" customHeight="1">
      <c r="A2" s="1115" t="s">
        <v>1615</v>
      </c>
      <c r="B2" s="1115"/>
      <c r="C2" s="1115"/>
      <c r="D2" s="1115"/>
      <c r="E2" s="1115"/>
      <c r="F2" s="1115"/>
      <c r="G2" s="1115"/>
      <c r="H2" s="1115"/>
      <c r="I2" s="1115"/>
      <c r="J2" s="1115"/>
      <c r="K2" s="1115"/>
      <c r="L2" s="1115"/>
      <c r="M2" s="1115"/>
      <c r="N2" s="1115"/>
      <c r="O2" s="1115"/>
      <c r="P2" s="1115"/>
      <c r="Q2" s="1115"/>
      <c r="R2" s="1115"/>
      <c r="S2" s="1115"/>
      <c r="T2" s="1115"/>
      <c r="U2" s="1115"/>
      <c r="V2" s="1115"/>
      <c r="W2" s="1115"/>
      <c r="X2" s="1115"/>
    </row>
    <row r="3" spans="1:24" ht="24.75" customHeight="1">
      <c r="A3" s="1116" t="s">
        <v>1656</v>
      </c>
      <c r="B3" s="1116"/>
      <c r="C3" s="1116"/>
      <c r="D3" s="1116"/>
      <c r="E3" s="1116"/>
      <c r="F3" s="1116"/>
      <c r="G3" s="1116"/>
      <c r="H3" s="1116"/>
      <c r="I3" s="1116"/>
      <c r="J3" s="1116"/>
      <c r="K3" s="1116"/>
      <c r="L3" s="1116"/>
      <c r="M3" s="1116"/>
      <c r="N3" s="1116"/>
      <c r="O3" s="1116"/>
      <c r="P3" s="1116"/>
      <c r="Q3" s="1116"/>
      <c r="R3" s="1116"/>
      <c r="S3" s="1116"/>
      <c r="T3" s="1116"/>
      <c r="U3" s="1116"/>
      <c r="V3" s="1116"/>
      <c r="W3" s="1116"/>
      <c r="X3" s="1116"/>
    </row>
    <row r="4" spans="1:24" ht="24.75" customHeight="1">
      <c r="A4" s="1117" t="s">
        <v>1881</v>
      </c>
      <c r="B4" s="1117"/>
      <c r="C4" s="1117"/>
      <c r="D4" s="1117"/>
      <c r="E4" s="1117"/>
      <c r="F4" s="1117"/>
      <c r="G4" s="1117"/>
      <c r="H4" s="1117"/>
      <c r="I4" s="1117"/>
      <c r="J4" s="1117"/>
      <c r="K4" s="1117"/>
      <c r="L4" s="1117"/>
      <c r="M4" s="1117"/>
      <c r="N4" s="1117"/>
      <c r="O4" s="1117"/>
      <c r="P4" s="1117"/>
      <c r="Q4" s="1117"/>
      <c r="R4" s="1117"/>
      <c r="S4" s="1117"/>
      <c r="T4" s="1117"/>
      <c r="U4" s="1117"/>
      <c r="V4" s="1117"/>
      <c r="W4" s="1117"/>
      <c r="X4" s="1117"/>
    </row>
    <row r="5" spans="1:24" ht="25.5" customHeight="1">
      <c r="A5" s="157"/>
      <c r="B5" s="158"/>
      <c r="C5" s="157"/>
      <c r="D5" s="158"/>
      <c r="E5" s="158"/>
      <c r="F5" s="158"/>
      <c r="G5" s="158"/>
      <c r="H5" s="158"/>
      <c r="I5" s="157"/>
      <c r="J5" s="158"/>
      <c r="K5" s="158"/>
      <c r="L5" s="158"/>
      <c r="M5" s="158"/>
      <c r="N5" s="158"/>
      <c r="O5" s="158"/>
      <c r="P5" s="158"/>
      <c r="Q5" s="158"/>
      <c r="R5" s="158"/>
      <c r="S5" s="158"/>
      <c r="T5" s="158"/>
      <c r="U5" s="158"/>
      <c r="V5" s="1113" t="s">
        <v>1</v>
      </c>
      <c r="W5" s="1113"/>
      <c r="X5" s="1113"/>
    </row>
    <row r="6" spans="1:24" s="145" customFormat="1" ht="21.75" customHeight="1">
      <c r="A6" s="1118" t="s">
        <v>2</v>
      </c>
      <c r="B6" s="1114" t="s">
        <v>24</v>
      </c>
      <c r="C6" s="1110" t="s">
        <v>1387</v>
      </c>
      <c r="D6" s="1110" t="s">
        <v>1388</v>
      </c>
      <c r="E6" s="1110" t="s">
        <v>1389</v>
      </c>
      <c r="F6" s="1114" t="s">
        <v>25</v>
      </c>
      <c r="G6" s="1114" t="s">
        <v>26</v>
      </c>
      <c r="H6" s="1114" t="s">
        <v>27</v>
      </c>
      <c r="I6" s="1114" t="s">
        <v>28</v>
      </c>
      <c r="J6" s="1114"/>
      <c r="K6" s="1114"/>
      <c r="L6" s="1114"/>
      <c r="M6" s="1114"/>
      <c r="N6" s="1114" t="s">
        <v>59</v>
      </c>
      <c r="O6" s="1114"/>
      <c r="P6" s="1114"/>
      <c r="Q6" s="1114"/>
      <c r="R6" s="1114" t="s">
        <v>60</v>
      </c>
      <c r="S6" s="1114"/>
      <c r="T6" s="1114"/>
      <c r="U6" s="1114"/>
      <c r="V6" s="1110" t="s">
        <v>1646</v>
      </c>
      <c r="W6" s="1110" t="s">
        <v>61</v>
      </c>
      <c r="X6" s="1114" t="s">
        <v>1243</v>
      </c>
    </row>
    <row r="7" spans="1:24" s="145" customFormat="1" ht="21.75" customHeight="1">
      <c r="A7" s="1118"/>
      <c r="B7" s="1114"/>
      <c r="C7" s="1111"/>
      <c r="D7" s="1111"/>
      <c r="E7" s="1111"/>
      <c r="F7" s="1114"/>
      <c r="G7" s="1114"/>
      <c r="H7" s="1114"/>
      <c r="I7" s="1114" t="s">
        <v>29</v>
      </c>
      <c r="J7" s="1114" t="s">
        <v>30</v>
      </c>
      <c r="K7" s="1114"/>
      <c r="L7" s="1114"/>
      <c r="M7" s="1114"/>
      <c r="N7" s="1114"/>
      <c r="O7" s="1114"/>
      <c r="P7" s="1114"/>
      <c r="Q7" s="1114"/>
      <c r="R7" s="1114"/>
      <c r="S7" s="1114"/>
      <c r="T7" s="1114"/>
      <c r="U7" s="1114"/>
      <c r="V7" s="1111"/>
      <c r="W7" s="1111"/>
      <c r="X7" s="1114"/>
    </row>
    <row r="8" spans="1:24" s="145" customFormat="1" ht="21.75" customHeight="1">
      <c r="A8" s="1118"/>
      <c r="B8" s="1114"/>
      <c r="C8" s="1111"/>
      <c r="D8" s="1111"/>
      <c r="E8" s="1111"/>
      <c r="F8" s="1114"/>
      <c r="G8" s="1114"/>
      <c r="H8" s="1114"/>
      <c r="I8" s="1114"/>
      <c r="J8" s="1114" t="s">
        <v>31</v>
      </c>
      <c r="K8" s="1114" t="s">
        <v>32</v>
      </c>
      <c r="L8" s="1114"/>
      <c r="M8" s="1114"/>
      <c r="N8" s="1114" t="s">
        <v>4</v>
      </c>
      <c r="O8" s="1114" t="s">
        <v>32</v>
      </c>
      <c r="P8" s="1114"/>
      <c r="Q8" s="1114"/>
      <c r="R8" s="1114" t="s">
        <v>4</v>
      </c>
      <c r="S8" s="1114" t="s">
        <v>32</v>
      </c>
      <c r="T8" s="1114"/>
      <c r="U8" s="1114"/>
      <c r="V8" s="1111"/>
      <c r="W8" s="1111"/>
      <c r="X8" s="1114"/>
    </row>
    <row r="9" spans="1:24" s="145" customFormat="1" ht="42" customHeight="1">
      <c r="A9" s="1118"/>
      <c r="B9" s="1114"/>
      <c r="C9" s="1112"/>
      <c r="D9" s="1112"/>
      <c r="E9" s="1112"/>
      <c r="F9" s="1114"/>
      <c r="G9" s="1114"/>
      <c r="H9" s="1114"/>
      <c r="I9" s="1114"/>
      <c r="J9" s="1114"/>
      <c r="K9" s="159" t="s">
        <v>33</v>
      </c>
      <c r="L9" s="160" t="s">
        <v>34</v>
      </c>
      <c r="M9" s="160" t="s">
        <v>35</v>
      </c>
      <c r="N9" s="1114"/>
      <c r="O9" s="160" t="s">
        <v>33</v>
      </c>
      <c r="P9" s="160" t="s">
        <v>34</v>
      </c>
      <c r="Q9" s="160" t="s">
        <v>35</v>
      </c>
      <c r="R9" s="1114"/>
      <c r="S9" s="160" t="s">
        <v>33</v>
      </c>
      <c r="T9" s="160" t="s">
        <v>34</v>
      </c>
      <c r="U9" s="160" t="s">
        <v>35</v>
      </c>
      <c r="V9" s="1112"/>
      <c r="W9" s="1112"/>
      <c r="X9" s="1114"/>
    </row>
    <row r="10" spans="1:24" ht="21.75" customHeight="1">
      <c r="A10" s="161" t="s">
        <v>21</v>
      </c>
      <c r="B10" s="162" t="s">
        <v>22</v>
      </c>
      <c r="C10" s="163"/>
      <c r="D10" s="162"/>
      <c r="E10" s="162"/>
      <c r="F10" s="161">
        <v>1</v>
      </c>
      <c r="G10" s="161">
        <v>2</v>
      </c>
      <c r="H10" s="161">
        <v>3</v>
      </c>
      <c r="I10" s="161">
        <v>4</v>
      </c>
      <c r="J10" s="161">
        <v>5</v>
      </c>
      <c r="K10" s="161">
        <v>6</v>
      </c>
      <c r="L10" s="161">
        <v>7</v>
      </c>
      <c r="M10" s="161">
        <v>8</v>
      </c>
      <c r="N10" s="161">
        <v>9</v>
      </c>
      <c r="O10" s="161">
        <v>10</v>
      </c>
      <c r="P10" s="161">
        <v>11</v>
      </c>
      <c r="Q10" s="161">
        <v>12</v>
      </c>
      <c r="R10" s="161">
        <v>13</v>
      </c>
      <c r="S10" s="161">
        <v>14</v>
      </c>
      <c r="T10" s="161">
        <v>15</v>
      </c>
      <c r="U10" s="161">
        <v>16</v>
      </c>
      <c r="V10" s="161">
        <v>17</v>
      </c>
      <c r="W10" s="161">
        <v>18</v>
      </c>
      <c r="X10" s="161">
        <v>19</v>
      </c>
    </row>
    <row r="11" spans="1:24" ht="43.5" customHeight="1">
      <c r="A11" s="164"/>
      <c r="B11" s="165" t="s">
        <v>4</v>
      </c>
      <c r="C11" s="165"/>
      <c r="D11" s="165"/>
      <c r="E11" s="165"/>
      <c r="F11" s="166"/>
      <c r="G11" s="166"/>
      <c r="H11" s="166"/>
      <c r="I11" s="166"/>
      <c r="J11" s="167">
        <f>+J12+J40</f>
        <v>3714531</v>
      </c>
      <c r="K11" s="167">
        <f t="shared" ref="K11:W11" si="0">+K12+K40</f>
        <v>2193098</v>
      </c>
      <c r="L11" s="167">
        <f t="shared" si="0"/>
        <v>446804</v>
      </c>
      <c r="M11" s="167">
        <f t="shared" si="0"/>
        <v>1074637</v>
      </c>
      <c r="N11" s="167">
        <f t="shared" si="0"/>
        <v>528024</v>
      </c>
      <c r="O11" s="167">
        <f t="shared" si="0"/>
        <v>465281</v>
      </c>
      <c r="P11" s="167">
        <f t="shared" si="0"/>
        <v>10521</v>
      </c>
      <c r="Q11" s="167">
        <f t="shared" si="0"/>
        <v>46222</v>
      </c>
      <c r="R11" s="167">
        <f t="shared" si="0"/>
        <v>503299</v>
      </c>
      <c r="S11" s="167">
        <f t="shared" si="0"/>
        <v>458473</v>
      </c>
      <c r="T11" s="167">
        <f t="shared" si="0"/>
        <v>3521</v>
      </c>
      <c r="U11" s="167">
        <f t="shared" si="0"/>
        <v>41305</v>
      </c>
      <c r="V11" s="167">
        <f t="shared" si="0"/>
        <v>2687861</v>
      </c>
      <c r="W11" s="167">
        <f t="shared" si="0"/>
        <v>299917</v>
      </c>
      <c r="X11" s="167">
        <f t="shared" ref="X11" si="1">+X12</f>
        <v>0</v>
      </c>
    </row>
    <row r="12" spans="1:24" s="23" customFormat="1" ht="43.5" customHeight="1">
      <c r="A12" s="207" t="s">
        <v>36</v>
      </c>
      <c r="B12" s="169" t="s">
        <v>46</v>
      </c>
      <c r="C12" s="170"/>
      <c r="D12" s="169"/>
      <c r="E12" s="169"/>
      <c r="F12" s="170"/>
      <c r="G12" s="170"/>
      <c r="H12" s="170"/>
      <c r="I12" s="170"/>
      <c r="J12" s="202">
        <f>+J13</f>
        <v>2215318</v>
      </c>
      <c r="K12" s="202">
        <f t="shared" ref="K12:W12" si="2">+K13</f>
        <v>1191164</v>
      </c>
      <c r="L12" s="202">
        <f t="shared" si="2"/>
        <v>433414</v>
      </c>
      <c r="M12" s="202">
        <f t="shared" si="2"/>
        <v>590740</v>
      </c>
      <c r="N12" s="202">
        <f t="shared" si="2"/>
        <v>528024</v>
      </c>
      <c r="O12" s="202">
        <f t="shared" si="2"/>
        <v>465281</v>
      </c>
      <c r="P12" s="202">
        <f t="shared" si="2"/>
        <v>10521</v>
      </c>
      <c r="Q12" s="202">
        <f t="shared" si="2"/>
        <v>46222</v>
      </c>
      <c r="R12" s="202">
        <f t="shared" si="2"/>
        <v>503299</v>
      </c>
      <c r="S12" s="202">
        <f t="shared" si="2"/>
        <v>458473</v>
      </c>
      <c r="T12" s="202">
        <f t="shared" si="2"/>
        <v>3521</v>
      </c>
      <c r="U12" s="202">
        <f t="shared" si="2"/>
        <v>41305</v>
      </c>
      <c r="V12" s="202">
        <f t="shared" si="2"/>
        <v>1672545</v>
      </c>
      <c r="W12" s="202">
        <f t="shared" si="2"/>
        <v>260145</v>
      </c>
      <c r="X12" s="203"/>
    </row>
    <row r="13" spans="1:24" s="23" customFormat="1" ht="43.5" customHeight="1">
      <c r="A13" s="197" t="s">
        <v>1655</v>
      </c>
      <c r="B13" s="169" t="s">
        <v>47</v>
      </c>
      <c r="C13" s="170"/>
      <c r="D13" s="169"/>
      <c r="E13" s="169"/>
      <c r="F13" s="170"/>
      <c r="G13" s="170"/>
      <c r="H13" s="170"/>
      <c r="I13" s="170"/>
      <c r="J13" s="202">
        <f>+J14+J20+J26+J32</f>
        <v>2215318</v>
      </c>
      <c r="K13" s="202">
        <f t="shared" ref="K13:U13" si="3">+K14+K20+K26+K32</f>
        <v>1191164</v>
      </c>
      <c r="L13" s="202">
        <f t="shared" si="3"/>
        <v>433414</v>
      </c>
      <c r="M13" s="202">
        <f t="shared" si="3"/>
        <v>590740</v>
      </c>
      <c r="N13" s="202">
        <f t="shared" si="3"/>
        <v>528024</v>
      </c>
      <c r="O13" s="202">
        <f t="shared" si="3"/>
        <v>465281</v>
      </c>
      <c r="P13" s="202">
        <f t="shared" si="3"/>
        <v>10521</v>
      </c>
      <c r="Q13" s="202">
        <f t="shared" si="3"/>
        <v>46222</v>
      </c>
      <c r="R13" s="202">
        <f t="shared" si="3"/>
        <v>503299</v>
      </c>
      <c r="S13" s="202">
        <f t="shared" si="3"/>
        <v>458473</v>
      </c>
      <c r="T13" s="202">
        <f t="shared" si="3"/>
        <v>3521</v>
      </c>
      <c r="U13" s="202">
        <f t="shared" si="3"/>
        <v>41305</v>
      </c>
      <c r="V13" s="202">
        <f>+V14+V20+V26+V32</f>
        <v>1672545</v>
      </c>
      <c r="W13" s="202">
        <f>+W14+W20+W26+W32</f>
        <v>260145</v>
      </c>
      <c r="X13" s="203"/>
    </row>
    <row r="14" spans="1:24" s="149" customFormat="1" ht="43.5" customHeight="1">
      <c r="A14" s="197">
        <v>1</v>
      </c>
      <c r="B14" s="169" t="s">
        <v>124</v>
      </c>
      <c r="C14" s="169" t="s">
        <v>124</v>
      </c>
      <c r="D14" s="169"/>
      <c r="E14" s="169"/>
      <c r="F14" s="170"/>
      <c r="G14" s="170"/>
      <c r="H14" s="170"/>
      <c r="I14" s="170"/>
      <c r="J14" s="202">
        <f t="shared" ref="J14:U14" si="4">J15</f>
        <v>126995</v>
      </c>
      <c r="K14" s="202">
        <f t="shared" si="4"/>
        <v>108609</v>
      </c>
      <c r="L14" s="202">
        <f t="shared" si="4"/>
        <v>18000</v>
      </c>
      <c r="M14" s="202">
        <f t="shared" si="4"/>
        <v>386</v>
      </c>
      <c r="N14" s="202">
        <f t="shared" si="4"/>
        <v>115040</v>
      </c>
      <c r="O14" s="202">
        <f t="shared" si="4"/>
        <v>98519</v>
      </c>
      <c r="P14" s="202">
        <f t="shared" si="4"/>
        <v>10521</v>
      </c>
      <c r="Q14" s="202">
        <f t="shared" si="4"/>
        <v>0</v>
      </c>
      <c r="R14" s="202">
        <f t="shared" si="4"/>
        <v>88754</v>
      </c>
      <c r="S14" s="202">
        <f t="shared" si="4"/>
        <v>85233</v>
      </c>
      <c r="T14" s="202">
        <f t="shared" si="4"/>
        <v>3521</v>
      </c>
      <c r="U14" s="202">
        <f t="shared" si="4"/>
        <v>0</v>
      </c>
      <c r="V14" s="202">
        <f>V15</f>
        <v>47438</v>
      </c>
      <c r="W14" s="202">
        <f>W15</f>
        <v>24120</v>
      </c>
      <c r="X14" s="203"/>
    </row>
    <row r="15" spans="1:24" s="148" customFormat="1" ht="43.5" customHeight="1">
      <c r="A15" s="174" t="s">
        <v>1305</v>
      </c>
      <c r="B15" s="175" t="s">
        <v>38</v>
      </c>
      <c r="C15" s="198" t="s">
        <v>124</v>
      </c>
      <c r="D15" s="175"/>
      <c r="E15" s="175"/>
      <c r="F15" s="184"/>
      <c r="G15" s="184"/>
      <c r="H15" s="184"/>
      <c r="I15" s="184"/>
      <c r="J15" s="193">
        <f t="shared" ref="J15:U15" si="5">J17+J16+J19</f>
        <v>126995</v>
      </c>
      <c r="K15" s="193">
        <f t="shared" si="5"/>
        <v>108609</v>
      </c>
      <c r="L15" s="193">
        <f t="shared" si="5"/>
        <v>18000</v>
      </c>
      <c r="M15" s="193">
        <f t="shared" si="5"/>
        <v>386</v>
      </c>
      <c r="N15" s="193">
        <f t="shared" si="5"/>
        <v>115040</v>
      </c>
      <c r="O15" s="193">
        <f t="shared" si="5"/>
        <v>98519</v>
      </c>
      <c r="P15" s="193">
        <f t="shared" si="5"/>
        <v>10521</v>
      </c>
      <c r="Q15" s="193">
        <f t="shared" si="5"/>
        <v>0</v>
      </c>
      <c r="R15" s="193">
        <f t="shared" si="5"/>
        <v>88754</v>
      </c>
      <c r="S15" s="193">
        <f t="shared" si="5"/>
        <v>85233</v>
      </c>
      <c r="T15" s="193">
        <f t="shared" si="5"/>
        <v>3521</v>
      </c>
      <c r="U15" s="193">
        <f t="shared" si="5"/>
        <v>0</v>
      </c>
      <c r="V15" s="193">
        <f>V16+V17+V19</f>
        <v>47438</v>
      </c>
      <c r="W15" s="193">
        <f>W16+W17+W19</f>
        <v>24120</v>
      </c>
      <c r="X15" s="194"/>
    </row>
    <row r="16" spans="1:24" s="147" customFormat="1" ht="43.5" customHeight="1">
      <c r="A16" s="179" t="s">
        <v>39</v>
      </c>
      <c r="B16" s="177" t="s">
        <v>1254</v>
      </c>
      <c r="C16" s="198" t="s">
        <v>124</v>
      </c>
      <c r="D16" s="206"/>
      <c r="E16" s="179"/>
      <c r="F16" s="196"/>
      <c r="G16" s="196"/>
      <c r="H16" s="179"/>
      <c r="I16" s="196"/>
      <c r="J16" s="178"/>
      <c r="K16" s="178"/>
      <c r="L16" s="178"/>
      <c r="M16" s="178"/>
      <c r="N16" s="178"/>
      <c r="O16" s="178"/>
      <c r="P16" s="178"/>
      <c r="Q16" s="178"/>
      <c r="R16" s="178"/>
      <c r="S16" s="178"/>
      <c r="T16" s="178"/>
      <c r="U16" s="178"/>
      <c r="V16" s="178"/>
      <c r="W16" s="178"/>
      <c r="X16" s="179"/>
    </row>
    <row r="17" spans="1:24" s="147" customFormat="1" ht="43.5" customHeight="1">
      <c r="A17" s="176" t="s">
        <v>467</v>
      </c>
      <c r="B17" s="180" t="s">
        <v>56</v>
      </c>
      <c r="C17" s="198" t="s">
        <v>124</v>
      </c>
      <c r="D17" s="180"/>
      <c r="E17" s="180"/>
      <c r="F17" s="183"/>
      <c r="G17" s="183"/>
      <c r="H17" s="183"/>
      <c r="I17" s="183"/>
      <c r="J17" s="188">
        <f>+J18</f>
        <v>126995</v>
      </c>
      <c r="K17" s="188">
        <f t="shared" ref="K17:U17" si="6">+K18</f>
        <v>108609</v>
      </c>
      <c r="L17" s="188">
        <f t="shared" si="6"/>
        <v>18000</v>
      </c>
      <c r="M17" s="188">
        <f t="shared" si="6"/>
        <v>386</v>
      </c>
      <c r="N17" s="188">
        <f t="shared" si="6"/>
        <v>115040</v>
      </c>
      <c r="O17" s="188">
        <f t="shared" si="6"/>
        <v>98519</v>
      </c>
      <c r="P17" s="188">
        <f t="shared" si="6"/>
        <v>10521</v>
      </c>
      <c r="Q17" s="188">
        <f t="shared" si="6"/>
        <v>0</v>
      </c>
      <c r="R17" s="188">
        <f t="shared" si="6"/>
        <v>88754</v>
      </c>
      <c r="S17" s="188">
        <f t="shared" si="6"/>
        <v>85233</v>
      </c>
      <c r="T17" s="188">
        <f t="shared" si="6"/>
        <v>3521</v>
      </c>
      <c r="U17" s="188">
        <f t="shared" si="6"/>
        <v>0</v>
      </c>
      <c r="V17" s="188">
        <f>+V18</f>
        <v>47438</v>
      </c>
      <c r="W17" s="188">
        <f>+W18</f>
        <v>24120</v>
      </c>
      <c r="X17" s="189"/>
    </row>
    <row r="18" spans="1:24" s="23" customFormat="1" ht="43.5" customHeight="1">
      <c r="A18" s="208" t="s">
        <v>144</v>
      </c>
      <c r="B18" s="209" t="s">
        <v>125</v>
      </c>
      <c r="C18" s="198" t="s">
        <v>124</v>
      </c>
      <c r="D18" s="209"/>
      <c r="E18" s="209"/>
      <c r="F18" s="187" t="s">
        <v>126</v>
      </c>
      <c r="G18" s="187" t="s">
        <v>175</v>
      </c>
      <c r="H18" s="187" t="s">
        <v>127</v>
      </c>
      <c r="I18" s="187" t="s">
        <v>143</v>
      </c>
      <c r="J18" s="186">
        <v>126995</v>
      </c>
      <c r="K18" s="186">
        <v>108609</v>
      </c>
      <c r="L18" s="186">
        <v>18000</v>
      </c>
      <c r="M18" s="186">
        <v>386</v>
      </c>
      <c r="N18" s="186">
        <v>115040</v>
      </c>
      <c r="O18" s="186">
        <v>98519</v>
      </c>
      <c r="P18" s="186">
        <v>10521</v>
      </c>
      <c r="Q18" s="186"/>
      <c r="R18" s="186">
        <f>S18+T18+U18</f>
        <v>88754</v>
      </c>
      <c r="S18" s="186">
        <f>98519-13286</f>
        <v>85233</v>
      </c>
      <c r="T18" s="186">
        <v>3521</v>
      </c>
      <c r="U18" s="186"/>
      <c r="V18" s="186">
        <v>47438</v>
      </c>
      <c r="W18" s="186">
        <v>24120</v>
      </c>
      <c r="X18" s="195" t="s">
        <v>1622</v>
      </c>
    </row>
    <row r="19" spans="1:24" s="150" customFormat="1" ht="43.5" customHeight="1">
      <c r="A19" s="190" t="s">
        <v>1306</v>
      </c>
      <c r="B19" s="182" t="s">
        <v>1307</v>
      </c>
      <c r="C19" s="198" t="s">
        <v>124</v>
      </c>
      <c r="D19" s="201"/>
      <c r="E19" s="201"/>
      <c r="F19" s="201"/>
      <c r="G19" s="201"/>
      <c r="H19" s="201"/>
      <c r="I19" s="190"/>
      <c r="J19" s="178"/>
      <c r="K19" s="178"/>
      <c r="L19" s="178"/>
      <c r="M19" s="178"/>
      <c r="N19" s="178"/>
      <c r="O19" s="178"/>
      <c r="P19" s="178"/>
      <c r="Q19" s="178"/>
      <c r="R19" s="178"/>
      <c r="S19" s="178"/>
      <c r="T19" s="178"/>
      <c r="U19" s="178"/>
      <c r="V19" s="178"/>
      <c r="W19" s="178"/>
      <c r="X19" s="179"/>
    </row>
    <row r="20" spans="1:24" s="149" customFormat="1" ht="43.5" customHeight="1">
      <c r="A20" s="197">
        <v>2</v>
      </c>
      <c r="B20" s="210" t="s">
        <v>128</v>
      </c>
      <c r="C20" s="210" t="s">
        <v>128</v>
      </c>
      <c r="D20" s="210"/>
      <c r="E20" s="210"/>
      <c r="F20" s="202"/>
      <c r="G20" s="202"/>
      <c r="H20" s="202"/>
      <c r="I20" s="203"/>
      <c r="J20" s="202">
        <f t="shared" ref="J20:V20" si="7">J21</f>
        <v>500635</v>
      </c>
      <c r="K20" s="202">
        <f t="shared" si="7"/>
        <v>356626</v>
      </c>
      <c r="L20" s="202">
        <f t="shared" si="7"/>
        <v>51204</v>
      </c>
      <c r="M20" s="202">
        <f t="shared" si="7"/>
        <v>92805</v>
      </c>
      <c r="N20" s="202">
        <f t="shared" si="7"/>
        <v>139545</v>
      </c>
      <c r="O20" s="202">
        <f t="shared" si="7"/>
        <v>98240</v>
      </c>
      <c r="P20" s="202">
        <f t="shared" si="7"/>
        <v>0</v>
      </c>
      <c r="Q20" s="202">
        <f t="shared" si="7"/>
        <v>41305</v>
      </c>
      <c r="R20" s="202">
        <f t="shared" si="7"/>
        <v>139545</v>
      </c>
      <c r="S20" s="202">
        <f t="shared" si="7"/>
        <v>98240</v>
      </c>
      <c r="T20" s="202">
        <f t="shared" si="7"/>
        <v>0</v>
      </c>
      <c r="U20" s="202">
        <f t="shared" si="7"/>
        <v>41305</v>
      </c>
      <c r="V20" s="202">
        <f t="shared" si="7"/>
        <v>335914</v>
      </c>
      <c r="W20" s="202">
        <v>31500</v>
      </c>
      <c r="X20" s="203"/>
    </row>
    <row r="21" spans="1:24" s="147" customFormat="1" ht="43.5" customHeight="1">
      <c r="A21" s="174" t="s">
        <v>1287</v>
      </c>
      <c r="B21" s="175" t="s">
        <v>38</v>
      </c>
      <c r="C21" s="211" t="s">
        <v>128</v>
      </c>
      <c r="D21" s="175"/>
      <c r="E21" s="175"/>
      <c r="F21" s="188"/>
      <c r="G21" s="188"/>
      <c r="H21" s="188"/>
      <c r="I21" s="189"/>
      <c r="J21" s="188">
        <f t="shared" ref="J21:U21" si="8">J23+J22+J25</f>
        <v>500635</v>
      </c>
      <c r="K21" s="188">
        <f t="shared" si="8"/>
        <v>356626</v>
      </c>
      <c r="L21" s="188">
        <f t="shared" si="8"/>
        <v>51204</v>
      </c>
      <c r="M21" s="188">
        <f t="shared" si="8"/>
        <v>92805</v>
      </c>
      <c r="N21" s="188">
        <f t="shared" si="8"/>
        <v>139545</v>
      </c>
      <c r="O21" s="188">
        <f t="shared" si="8"/>
        <v>98240</v>
      </c>
      <c r="P21" s="188">
        <f t="shared" si="8"/>
        <v>0</v>
      </c>
      <c r="Q21" s="188">
        <f t="shared" si="8"/>
        <v>41305</v>
      </c>
      <c r="R21" s="188">
        <f t="shared" si="8"/>
        <v>139545</v>
      </c>
      <c r="S21" s="188">
        <f t="shared" si="8"/>
        <v>98240</v>
      </c>
      <c r="T21" s="188">
        <f t="shared" si="8"/>
        <v>0</v>
      </c>
      <c r="U21" s="188">
        <f t="shared" si="8"/>
        <v>41305</v>
      </c>
      <c r="V21" s="188">
        <f>V22+V23+V25</f>
        <v>335914</v>
      </c>
      <c r="W21" s="188">
        <f>W22+W23+W25</f>
        <v>31500</v>
      </c>
      <c r="X21" s="189"/>
    </row>
    <row r="22" spans="1:24" s="147" customFormat="1" ht="43.5" customHeight="1">
      <c r="A22" s="179" t="s">
        <v>39</v>
      </c>
      <c r="B22" s="177" t="s">
        <v>1254</v>
      </c>
      <c r="C22" s="211" t="s">
        <v>128</v>
      </c>
      <c r="D22" s="206"/>
      <c r="E22" s="179"/>
      <c r="F22" s="196"/>
      <c r="G22" s="196"/>
      <c r="H22" s="179"/>
      <c r="I22" s="196"/>
      <c r="J22" s="178"/>
      <c r="K22" s="178"/>
      <c r="L22" s="178"/>
      <c r="M22" s="178"/>
      <c r="N22" s="178"/>
      <c r="O22" s="178"/>
      <c r="P22" s="178"/>
      <c r="Q22" s="178"/>
      <c r="R22" s="178"/>
      <c r="S22" s="178"/>
      <c r="T22" s="178"/>
      <c r="U22" s="178"/>
      <c r="V22" s="178"/>
      <c r="W22" s="178"/>
      <c r="X22" s="179"/>
    </row>
    <row r="23" spans="1:24" s="147" customFormat="1" ht="43.5" customHeight="1">
      <c r="A23" s="176" t="s">
        <v>467</v>
      </c>
      <c r="B23" s="180" t="s">
        <v>56</v>
      </c>
      <c r="C23" s="211" t="s">
        <v>128</v>
      </c>
      <c r="D23" s="180"/>
      <c r="E23" s="180"/>
      <c r="F23" s="188"/>
      <c r="G23" s="188"/>
      <c r="H23" s="188"/>
      <c r="I23" s="189"/>
      <c r="J23" s="188">
        <f>+J24</f>
        <v>500635</v>
      </c>
      <c r="K23" s="188">
        <f t="shared" ref="K23:U23" si="9">+K24</f>
        <v>356626</v>
      </c>
      <c r="L23" s="188">
        <f t="shared" si="9"/>
        <v>51204</v>
      </c>
      <c r="M23" s="188">
        <f t="shared" si="9"/>
        <v>92805</v>
      </c>
      <c r="N23" s="188">
        <f t="shared" si="9"/>
        <v>139545</v>
      </c>
      <c r="O23" s="188">
        <f t="shared" si="9"/>
        <v>98240</v>
      </c>
      <c r="P23" s="188">
        <f t="shared" si="9"/>
        <v>0</v>
      </c>
      <c r="Q23" s="188">
        <f t="shared" si="9"/>
        <v>41305</v>
      </c>
      <c r="R23" s="188">
        <f t="shared" si="9"/>
        <v>139545</v>
      </c>
      <c r="S23" s="188">
        <f t="shared" si="9"/>
        <v>98240</v>
      </c>
      <c r="T23" s="188">
        <f t="shared" si="9"/>
        <v>0</v>
      </c>
      <c r="U23" s="188">
        <f t="shared" si="9"/>
        <v>41305</v>
      </c>
      <c r="V23" s="188">
        <f>+V24</f>
        <v>335914</v>
      </c>
      <c r="W23" s="188">
        <f>+W24</f>
        <v>31500</v>
      </c>
      <c r="X23" s="189"/>
    </row>
    <row r="24" spans="1:24" s="23" customFormat="1" ht="43.5" customHeight="1">
      <c r="A24" s="208" t="s">
        <v>144</v>
      </c>
      <c r="B24" s="204" t="s">
        <v>156</v>
      </c>
      <c r="C24" s="211" t="s">
        <v>128</v>
      </c>
      <c r="D24" s="204"/>
      <c r="E24" s="204"/>
      <c r="F24" s="187"/>
      <c r="G24" s="181"/>
      <c r="H24" s="187" t="s">
        <v>155</v>
      </c>
      <c r="I24" s="191" t="s">
        <v>157</v>
      </c>
      <c r="J24" s="186">
        <v>500635</v>
      </c>
      <c r="K24" s="186">
        <v>356626</v>
      </c>
      <c r="L24" s="186">
        <v>51204</v>
      </c>
      <c r="M24" s="186">
        <v>92805</v>
      </c>
      <c r="N24" s="186">
        <f>O24+P24+Q24</f>
        <v>139545</v>
      </c>
      <c r="O24" s="186">
        <v>98240</v>
      </c>
      <c r="P24" s="186"/>
      <c r="Q24" s="186">
        <v>41305</v>
      </c>
      <c r="R24" s="186">
        <f>S24+T24+U24</f>
        <v>139545</v>
      </c>
      <c r="S24" s="186">
        <v>98240</v>
      </c>
      <c r="T24" s="186"/>
      <c r="U24" s="186">
        <v>41305</v>
      </c>
      <c r="V24" s="186">
        <v>335914</v>
      </c>
      <c r="W24" s="186">
        <v>31500</v>
      </c>
      <c r="X24" s="195" t="s">
        <v>1622</v>
      </c>
    </row>
    <row r="25" spans="1:24" s="150" customFormat="1" ht="43.5" customHeight="1">
      <c r="A25" s="190" t="s">
        <v>1306</v>
      </c>
      <c r="B25" s="182" t="s">
        <v>1307</v>
      </c>
      <c r="C25" s="211" t="s">
        <v>128</v>
      </c>
      <c r="D25" s="201"/>
      <c r="E25" s="201"/>
      <c r="F25" s="201"/>
      <c r="G25" s="201"/>
      <c r="H25" s="201"/>
      <c r="I25" s="190"/>
      <c r="J25" s="178"/>
      <c r="K25" s="178"/>
      <c r="L25" s="178"/>
      <c r="M25" s="178"/>
      <c r="N25" s="178"/>
      <c r="O25" s="178"/>
      <c r="P25" s="178"/>
      <c r="Q25" s="178"/>
      <c r="R25" s="178"/>
      <c r="S25" s="178"/>
      <c r="T25" s="178"/>
      <c r="U25" s="178"/>
      <c r="V25" s="178"/>
      <c r="W25" s="178"/>
      <c r="X25" s="179"/>
    </row>
    <row r="26" spans="1:24" s="23" customFormat="1" ht="43.5" customHeight="1">
      <c r="A26" s="197">
        <v>3</v>
      </c>
      <c r="B26" s="169" t="s">
        <v>66</v>
      </c>
      <c r="C26" s="169" t="s">
        <v>66</v>
      </c>
      <c r="D26" s="169"/>
      <c r="E26" s="169"/>
      <c r="F26" s="170"/>
      <c r="G26" s="170"/>
      <c r="H26" s="170"/>
      <c r="I26" s="170"/>
      <c r="J26" s="202">
        <f t="shared" ref="J26:V26" si="10">J27</f>
        <v>1159442</v>
      </c>
      <c r="K26" s="202">
        <f t="shared" si="10"/>
        <v>422458</v>
      </c>
      <c r="L26" s="202">
        <f t="shared" si="10"/>
        <v>340210</v>
      </c>
      <c r="M26" s="202">
        <f t="shared" si="10"/>
        <v>396774</v>
      </c>
      <c r="N26" s="202">
        <f t="shared" si="10"/>
        <v>29439</v>
      </c>
      <c r="O26" s="202">
        <f t="shared" si="10"/>
        <v>24522</v>
      </c>
      <c r="P26" s="202">
        <f t="shared" si="10"/>
        <v>0</v>
      </c>
      <c r="Q26" s="202">
        <f t="shared" si="10"/>
        <v>4917</v>
      </c>
      <c r="R26" s="202">
        <f t="shared" si="10"/>
        <v>275000</v>
      </c>
      <c r="S26" s="202">
        <f t="shared" si="10"/>
        <v>275000</v>
      </c>
      <c r="T26" s="202">
        <f t="shared" si="10"/>
        <v>0</v>
      </c>
      <c r="U26" s="202">
        <f t="shared" si="10"/>
        <v>0</v>
      </c>
      <c r="V26" s="202">
        <f t="shared" si="10"/>
        <v>1087180</v>
      </c>
      <c r="W26" s="202">
        <v>112145</v>
      </c>
      <c r="X26" s="203"/>
    </row>
    <row r="27" spans="1:24" s="147" customFormat="1" ht="43.5" customHeight="1">
      <c r="A27" s="174" t="s">
        <v>1288</v>
      </c>
      <c r="B27" s="175" t="s">
        <v>38</v>
      </c>
      <c r="C27" s="198" t="s">
        <v>66</v>
      </c>
      <c r="D27" s="175"/>
      <c r="E27" s="175"/>
      <c r="F27" s="184"/>
      <c r="G27" s="184"/>
      <c r="H27" s="184"/>
      <c r="I27" s="184"/>
      <c r="J27" s="193">
        <f t="shared" ref="J27:U27" si="11">+J29+J28+J31</f>
        <v>1159442</v>
      </c>
      <c r="K27" s="193">
        <f t="shared" si="11"/>
        <v>422458</v>
      </c>
      <c r="L27" s="193">
        <f t="shared" si="11"/>
        <v>340210</v>
      </c>
      <c r="M27" s="193">
        <f t="shared" si="11"/>
        <v>396774</v>
      </c>
      <c r="N27" s="193">
        <f t="shared" si="11"/>
        <v>29439</v>
      </c>
      <c r="O27" s="193">
        <f t="shared" si="11"/>
        <v>24522</v>
      </c>
      <c r="P27" s="193">
        <f t="shared" si="11"/>
        <v>0</v>
      </c>
      <c r="Q27" s="193">
        <f t="shared" si="11"/>
        <v>4917</v>
      </c>
      <c r="R27" s="193">
        <f t="shared" si="11"/>
        <v>275000</v>
      </c>
      <c r="S27" s="193">
        <f t="shared" si="11"/>
        <v>275000</v>
      </c>
      <c r="T27" s="193">
        <f t="shared" si="11"/>
        <v>0</v>
      </c>
      <c r="U27" s="193">
        <f t="shared" si="11"/>
        <v>0</v>
      </c>
      <c r="V27" s="193">
        <f>V28+V29+V31</f>
        <v>1087180</v>
      </c>
      <c r="W27" s="193">
        <f>W28+W29+W31</f>
        <v>112145</v>
      </c>
      <c r="X27" s="194"/>
    </row>
    <row r="28" spans="1:24" s="147" customFormat="1" ht="43.5" customHeight="1">
      <c r="A28" s="179" t="s">
        <v>39</v>
      </c>
      <c r="B28" s="177" t="s">
        <v>1254</v>
      </c>
      <c r="C28" s="198" t="s">
        <v>66</v>
      </c>
      <c r="D28" s="206"/>
      <c r="E28" s="179"/>
      <c r="F28" s="196"/>
      <c r="G28" s="196"/>
      <c r="H28" s="179"/>
      <c r="I28" s="196"/>
      <c r="J28" s="178"/>
      <c r="K28" s="178"/>
      <c r="L28" s="178"/>
      <c r="M28" s="178"/>
      <c r="N28" s="178"/>
      <c r="O28" s="178"/>
      <c r="P28" s="178"/>
      <c r="Q28" s="178"/>
      <c r="R28" s="178"/>
      <c r="S28" s="178"/>
      <c r="T28" s="178"/>
      <c r="U28" s="178"/>
      <c r="V28" s="178"/>
      <c r="W28" s="178"/>
      <c r="X28" s="179"/>
    </row>
    <row r="29" spans="1:24" s="147" customFormat="1" ht="43.5" customHeight="1">
      <c r="A29" s="176" t="s">
        <v>467</v>
      </c>
      <c r="B29" s="180" t="s">
        <v>56</v>
      </c>
      <c r="C29" s="198" t="s">
        <v>66</v>
      </c>
      <c r="D29" s="180"/>
      <c r="E29" s="180"/>
      <c r="F29" s="183"/>
      <c r="G29" s="183"/>
      <c r="H29" s="183"/>
      <c r="I29" s="183"/>
      <c r="J29" s="188">
        <f t="shared" ref="J29:U29" si="12">+SUM(J30:J30)</f>
        <v>1159442</v>
      </c>
      <c r="K29" s="188">
        <f t="shared" si="12"/>
        <v>422458</v>
      </c>
      <c r="L29" s="188">
        <f t="shared" si="12"/>
        <v>340210</v>
      </c>
      <c r="M29" s="188">
        <f t="shared" si="12"/>
        <v>396774</v>
      </c>
      <c r="N29" s="188">
        <f t="shared" si="12"/>
        <v>29439</v>
      </c>
      <c r="O29" s="188">
        <f t="shared" si="12"/>
        <v>24522</v>
      </c>
      <c r="P29" s="188">
        <f t="shared" si="12"/>
        <v>0</v>
      </c>
      <c r="Q29" s="188">
        <f t="shared" si="12"/>
        <v>4917</v>
      </c>
      <c r="R29" s="188">
        <f t="shared" si="12"/>
        <v>275000</v>
      </c>
      <c r="S29" s="188">
        <f t="shared" si="12"/>
        <v>275000</v>
      </c>
      <c r="T29" s="188">
        <f t="shared" si="12"/>
        <v>0</v>
      </c>
      <c r="U29" s="188">
        <f t="shared" si="12"/>
        <v>0</v>
      </c>
      <c r="V29" s="188">
        <f>V30</f>
        <v>1087180</v>
      </c>
      <c r="W29" s="188">
        <f>W30</f>
        <v>112145</v>
      </c>
      <c r="X29" s="189"/>
    </row>
    <row r="30" spans="1:24" s="23" customFormat="1" ht="43.5" customHeight="1">
      <c r="A30" s="212" t="s">
        <v>144</v>
      </c>
      <c r="B30" s="209" t="s">
        <v>158</v>
      </c>
      <c r="C30" s="198" t="s">
        <v>66</v>
      </c>
      <c r="D30" s="209"/>
      <c r="E30" s="209"/>
      <c r="F30" s="35" t="s">
        <v>160</v>
      </c>
      <c r="G30" s="191" t="s">
        <v>167</v>
      </c>
      <c r="H30" s="173" t="s">
        <v>159</v>
      </c>
      <c r="I30" s="187" t="s">
        <v>161</v>
      </c>
      <c r="J30" s="36">
        <v>1159442</v>
      </c>
      <c r="K30" s="36">
        <v>422458</v>
      </c>
      <c r="L30" s="186">
        <v>340210</v>
      </c>
      <c r="M30" s="186">
        <v>396774</v>
      </c>
      <c r="N30" s="186">
        <f>O30+P30+Q30</f>
        <v>29439</v>
      </c>
      <c r="O30" s="55">
        <f>13591+10931</f>
        <v>24522</v>
      </c>
      <c r="P30" s="186"/>
      <c r="Q30" s="55">
        <v>4917</v>
      </c>
      <c r="R30" s="186">
        <f>S30+T30+U30</f>
        <v>275000</v>
      </c>
      <c r="S30" s="186">
        <v>275000</v>
      </c>
      <c r="T30" s="186"/>
      <c r="U30" s="202"/>
      <c r="V30" s="186">
        <v>1087180</v>
      </c>
      <c r="W30" s="186">
        <v>112145</v>
      </c>
      <c r="X30" s="195" t="s">
        <v>1639</v>
      </c>
    </row>
    <row r="31" spans="1:24" s="150" customFormat="1" ht="43.5" customHeight="1">
      <c r="A31" s="190" t="s">
        <v>1306</v>
      </c>
      <c r="B31" s="182" t="s">
        <v>1307</v>
      </c>
      <c r="C31" s="198" t="s">
        <v>66</v>
      </c>
      <c r="D31" s="201"/>
      <c r="E31" s="201"/>
      <c r="F31" s="201"/>
      <c r="G31" s="201"/>
      <c r="H31" s="201"/>
      <c r="I31" s="190"/>
      <c r="J31" s="178"/>
      <c r="K31" s="178"/>
      <c r="L31" s="178"/>
      <c r="M31" s="178"/>
      <c r="N31" s="178"/>
      <c r="O31" s="178"/>
      <c r="P31" s="178"/>
      <c r="Q31" s="178"/>
      <c r="R31" s="178"/>
      <c r="S31" s="178"/>
      <c r="T31" s="178"/>
      <c r="U31" s="178"/>
      <c r="V31" s="178"/>
      <c r="W31" s="178"/>
      <c r="X31" s="179"/>
    </row>
    <row r="32" spans="1:24" s="149" customFormat="1" ht="43.5" customHeight="1">
      <c r="A32" s="197">
        <v>4</v>
      </c>
      <c r="B32" s="169" t="s">
        <v>55</v>
      </c>
      <c r="C32" s="169" t="s">
        <v>55</v>
      </c>
      <c r="D32" s="169"/>
      <c r="E32" s="169"/>
      <c r="F32" s="213"/>
      <c r="G32" s="214"/>
      <c r="H32" s="170"/>
      <c r="I32" s="170"/>
      <c r="J32" s="39">
        <f t="shared" ref="J32:V32" si="13">J33</f>
        <v>428246</v>
      </c>
      <c r="K32" s="39">
        <f>K33</f>
        <v>303471</v>
      </c>
      <c r="L32" s="39">
        <f t="shared" si="13"/>
        <v>24000</v>
      </c>
      <c r="M32" s="39">
        <f t="shared" si="13"/>
        <v>100775</v>
      </c>
      <c r="N32" s="39">
        <f t="shared" si="13"/>
        <v>244000</v>
      </c>
      <c r="O32" s="39">
        <f t="shared" si="13"/>
        <v>244000</v>
      </c>
      <c r="P32" s="39">
        <f t="shared" si="13"/>
        <v>0</v>
      </c>
      <c r="Q32" s="39">
        <f t="shared" si="13"/>
        <v>0</v>
      </c>
      <c r="R32" s="39">
        <f t="shared" si="13"/>
        <v>0</v>
      </c>
      <c r="S32" s="39">
        <f t="shared" si="13"/>
        <v>0</v>
      </c>
      <c r="T32" s="39">
        <f t="shared" si="13"/>
        <v>0</v>
      </c>
      <c r="U32" s="39">
        <f t="shared" si="13"/>
        <v>0</v>
      </c>
      <c r="V32" s="39">
        <f t="shared" si="13"/>
        <v>202013</v>
      </c>
      <c r="W32" s="39">
        <v>92380</v>
      </c>
      <c r="X32" s="215"/>
    </row>
    <row r="33" spans="1:24" s="148" customFormat="1" ht="43.5" customHeight="1">
      <c r="A33" s="174" t="s">
        <v>1290</v>
      </c>
      <c r="B33" s="175" t="s">
        <v>38</v>
      </c>
      <c r="C33" s="198" t="s">
        <v>55</v>
      </c>
      <c r="D33" s="175"/>
      <c r="E33" s="175"/>
      <c r="F33" s="216"/>
      <c r="G33" s="217"/>
      <c r="H33" s="184"/>
      <c r="I33" s="184"/>
      <c r="J33" s="218">
        <f t="shared" ref="J33:U33" si="14">J35+J34+J39</f>
        <v>428246</v>
      </c>
      <c r="K33" s="218">
        <f t="shared" si="14"/>
        <v>303471</v>
      </c>
      <c r="L33" s="218">
        <f t="shared" si="14"/>
        <v>24000</v>
      </c>
      <c r="M33" s="218">
        <f t="shared" si="14"/>
        <v>100775</v>
      </c>
      <c r="N33" s="218">
        <f t="shared" si="14"/>
        <v>244000</v>
      </c>
      <c r="O33" s="218">
        <f t="shared" si="14"/>
        <v>244000</v>
      </c>
      <c r="P33" s="218">
        <f t="shared" si="14"/>
        <v>0</v>
      </c>
      <c r="Q33" s="218">
        <f t="shared" si="14"/>
        <v>0</v>
      </c>
      <c r="R33" s="218">
        <f t="shared" si="14"/>
        <v>0</v>
      </c>
      <c r="S33" s="218">
        <f t="shared" si="14"/>
        <v>0</v>
      </c>
      <c r="T33" s="218">
        <f t="shared" si="14"/>
        <v>0</v>
      </c>
      <c r="U33" s="218">
        <f t="shared" si="14"/>
        <v>0</v>
      </c>
      <c r="V33" s="218">
        <f>V34+V35+V39</f>
        <v>202013</v>
      </c>
      <c r="W33" s="218">
        <f>W34+W35+W39</f>
        <v>92380</v>
      </c>
      <c r="X33" s="219"/>
    </row>
    <row r="34" spans="1:24" s="147" customFormat="1" ht="43.5" customHeight="1">
      <c r="A34" s="179" t="s">
        <v>39</v>
      </c>
      <c r="B34" s="177" t="s">
        <v>1254</v>
      </c>
      <c r="C34" s="198" t="s">
        <v>55</v>
      </c>
      <c r="D34" s="206"/>
      <c r="E34" s="179"/>
      <c r="F34" s="196"/>
      <c r="G34" s="196"/>
      <c r="H34" s="179"/>
      <c r="I34" s="196"/>
      <c r="J34" s="178"/>
      <c r="K34" s="178"/>
      <c r="L34" s="178"/>
      <c r="M34" s="178"/>
      <c r="N34" s="178"/>
      <c r="O34" s="178"/>
      <c r="P34" s="178"/>
      <c r="Q34" s="178"/>
      <c r="R34" s="178"/>
      <c r="S34" s="178"/>
      <c r="T34" s="178"/>
      <c r="U34" s="178"/>
      <c r="V34" s="178"/>
      <c r="W34" s="178"/>
      <c r="X34" s="179"/>
    </row>
    <row r="35" spans="1:24" s="147" customFormat="1" ht="43.5" customHeight="1">
      <c r="A35" s="176" t="s">
        <v>467</v>
      </c>
      <c r="B35" s="180" t="s">
        <v>56</v>
      </c>
      <c r="C35" s="198" t="s">
        <v>55</v>
      </c>
      <c r="D35" s="180"/>
      <c r="E35" s="180"/>
      <c r="F35" s="40"/>
      <c r="G35" s="192"/>
      <c r="H35" s="183"/>
      <c r="I35" s="183"/>
      <c r="J35" s="41">
        <f>+J36</f>
        <v>428246</v>
      </c>
      <c r="K35" s="41">
        <f t="shared" ref="K35:U35" si="15">+K36</f>
        <v>303471</v>
      </c>
      <c r="L35" s="41">
        <f t="shared" si="15"/>
        <v>24000</v>
      </c>
      <c r="M35" s="41">
        <f t="shared" si="15"/>
        <v>100775</v>
      </c>
      <c r="N35" s="41">
        <f t="shared" si="15"/>
        <v>244000</v>
      </c>
      <c r="O35" s="41">
        <f t="shared" si="15"/>
        <v>244000</v>
      </c>
      <c r="P35" s="41">
        <f t="shared" si="15"/>
        <v>0</v>
      </c>
      <c r="Q35" s="41">
        <f t="shared" si="15"/>
        <v>0</v>
      </c>
      <c r="R35" s="41">
        <f t="shared" si="15"/>
        <v>0</v>
      </c>
      <c r="S35" s="41">
        <f t="shared" si="15"/>
        <v>0</v>
      </c>
      <c r="T35" s="41">
        <f t="shared" si="15"/>
        <v>0</v>
      </c>
      <c r="U35" s="41">
        <f t="shared" si="15"/>
        <v>0</v>
      </c>
      <c r="V35" s="41">
        <f>V36</f>
        <v>202013</v>
      </c>
      <c r="W35" s="41">
        <f>W36</f>
        <v>92380</v>
      </c>
      <c r="X35" s="221"/>
    </row>
    <row r="36" spans="1:24" s="23" customFormat="1" ht="43.5" customHeight="1">
      <c r="A36" s="212" t="s">
        <v>144</v>
      </c>
      <c r="B36" s="205" t="s">
        <v>148</v>
      </c>
      <c r="C36" s="198" t="s">
        <v>55</v>
      </c>
      <c r="D36" s="205"/>
      <c r="E36" s="205"/>
      <c r="F36" s="35"/>
      <c r="G36" s="191" t="s">
        <v>177</v>
      </c>
      <c r="H36" s="173" t="s">
        <v>154</v>
      </c>
      <c r="I36" s="187" t="s">
        <v>153</v>
      </c>
      <c r="J36" s="36">
        <f t="shared" ref="J36:R36" si="16">+J37+J38</f>
        <v>428246</v>
      </c>
      <c r="K36" s="36">
        <f t="shared" si="16"/>
        <v>303471</v>
      </c>
      <c r="L36" s="36">
        <f t="shared" si="16"/>
        <v>24000</v>
      </c>
      <c r="M36" s="36">
        <f t="shared" si="16"/>
        <v>100775</v>
      </c>
      <c r="N36" s="36">
        <f t="shared" si="16"/>
        <v>244000</v>
      </c>
      <c r="O36" s="36">
        <f t="shared" si="16"/>
        <v>244000</v>
      </c>
      <c r="P36" s="36">
        <f t="shared" si="16"/>
        <v>0</v>
      </c>
      <c r="Q36" s="36">
        <f t="shared" si="16"/>
        <v>0</v>
      </c>
      <c r="R36" s="36">
        <f t="shared" si="16"/>
        <v>0</v>
      </c>
      <c r="S36" s="36"/>
      <c r="T36" s="36">
        <f>+T37+T38</f>
        <v>0</v>
      </c>
      <c r="U36" s="36">
        <f>+U37+U38</f>
        <v>0</v>
      </c>
      <c r="V36" s="36">
        <f>SUM(V37:V38)</f>
        <v>202013</v>
      </c>
      <c r="W36" s="36">
        <f>SUM(W37:W38)</f>
        <v>92380</v>
      </c>
      <c r="X36" s="220" t="s">
        <v>1622</v>
      </c>
    </row>
    <row r="37" spans="1:24" s="147" customFormat="1" ht="43.5" customHeight="1">
      <c r="A37" s="222" t="s">
        <v>502</v>
      </c>
      <c r="B37" s="223" t="s">
        <v>149</v>
      </c>
      <c r="C37" s="198" t="s">
        <v>55</v>
      </c>
      <c r="D37" s="223"/>
      <c r="E37" s="223"/>
      <c r="F37" s="40" t="s">
        <v>151</v>
      </c>
      <c r="G37" s="192"/>
      <c r="H37" s="183"/>
      <c r="I37" s="183"/>
      <c r="J37" s="41">
        <v>215200</v>
      </c>
      <c r="K37" s="41">
        <f>146559+40</f>
        <v>146599</v>
      </c>
      <c r="L37" s="188">
        <f>J37-K37-M37</f>
        <v>12427</v>
      </c>
      <c r="M37" s="188">
        <v>56174</v>
      </c>
      <c r="N37" s="188">
        <v>136750</v>
      </c>
      <c r="O37" s="188">
        <v>136750</v>
      </c>
      <c r="P37" s="188"/>
      <c r="Q37" s="193"/>
      <c r="R37" s="188"/>
      <c r="S37" s="193"/>
      <c r="T37" s="188"/>
      <c r="U37" s="193"/>
      <c r="V37" s="193">
        <v>77256</v>
      </c>
      <c r="W37" s="188">
        <v>39484</v>
      </c>
      <c r="X37" s="194"/>
    </row>
    <row r="38" spans="1:24" s="147" customFormat="1" ht="43.5" customHeight="1">
      <c r="A38" s="222" t="s">
        <v>502</v>
      </c>
      <c r="B38" s="223" t="s">
        <v>150</v>
      </c>
      <c r="C38" s="198" t="s">
        <v>55</v>
      </c>
      <c r="D38" s="223"/>
      <c r="E38" s="223"/>
      <c r="F38" s="40" t="s">
        <v>152</v>
      </c>
      <c r="G38" s="192"/>
      <c r="H38" s="183"/>
      <c r="I38" s="183"/>
      <c r="J38" s="41">
        <v>213046</v>
      </c>
      <c r="K38" s="41">
        <v>156872</v>
      </c>
      <c r="L38" s="188">
        <f>J38-K38-M38</f>
        <v>11573</v>
      </c>
      <c r="M38" s="41">
        <v>44601</v>
      </c>
      <c r="N38" s="188">
        <v>107250</v>
      </c>
      <c r="O38" s="188">
        <v>107250</v>
      </c>
      <c r="P38" s="188"/>
      <c r="Q38" s="193"/>
      <c r="R38" s="188"/>
      <c r="S38" s="193"/>
      <c r="T38" s="188"/>
      <c r="U38" s="193"/>
      <c r="V38" s="193">
        <v>124757</v>
      </c>
      <c r="W38" s="188">
        <v>52896</v>
      </c>
      <c r="X38" s="194"/>
    </row>
    <row r="39" spans="1:24" s="150" customFormat="1" ht="43.5" customHeight="1">
      <c r="A39" s="190" t="s">
        <v>1306</v>
      </c>
      <c r="B39" s="182" t="s">
        <v>1307</v>
      </c>
      <c r="C39" s="198" t="s">
        <v>55</v>
      </c>
      <c r="D39" s="201"/>
      <c r="E39" s="201"/>
      <c r="F39" s="201"/>
      <c r="G39" s="201"/>
      <c r="H39" s="201"/>
      <c r="I39" s="190"/>
      <c r="J39" s="178"/>
      <c r="K39" s="178"/>
      <c r="L39" s="178"/>
      <c r="M39" s="178"/>
      <c r="N39" s="178"/>
      <c r="O39" s="178"/>
      <c r="P39" s="178"/>
      <c r="Q39" s="178"/>
      <c r="R39" s="178"/>
      <c r="S39" s="178"/>
      <c r="T39" s="178"/>
      <c r="U39" s="178"/>
      <c r="V39" s="178"/>
      <c r="W39" s="178"/>
      <c r="X39" s="179"/>
    </row>
    <row r="40" spans="1:24" s="23" customFormat="1" ht="43.5" customHeight="1">
      <c r="A40" s="241" t="s">
        <v>40</v>
      </c>
      <c r="B40" s="242" t="s">
        <v>162</v>
      </c>
      <c r="C40" s="243"/>
      <c r="D40" s="242"/>
      <c r="E40" s="242"/>
      <c r="F40" s="244"/>
      <c r="G40" s="244"/>
      <c r="H40" s="244"/>
      <c r="I40" s="245"/>
      <c r="J40" s="246">
        <f t="shared" ref="J40:V41" si="17">J41</f>
        <v>1499213</v>
      </c>
      <c r="K40" s="246">
        <f t="shared" si="17"/>
        <v>1001934</v>
      </c>
      <c r="L40" s="246">
        <f t="shared" si="17"/>
        <v>13390</v>
      </c>
      <c r="M40" s="246">
        <f t="shared" si="17"/>
        <v>483897</v>
      </c>
      <c r="N40" s="246">
        <f t="shared" si="17"/>
        <v>0</v>
      </c>
      <c r="O40" s="246">
        <f t="shared" si="17"/>
        <v>0</v>
      </c>
      <c r="P40" s="246">
        <f t="shared" si="17"/>
        <v>0</v>
      </c>
      <c r="Q40" s="246">
        <f t="shared" si="17"/>
        <v>0</v>
      </c>
      <c r="R40" s="246">
        <f t="shared" si="17"/>
        <v>0</v>
      </c>
      <c r="S40" s="246">
        <f t="shared" si="17"/>
        <v>0</v>
      </c>
      <c r="T40" s="246">
        <f t="shared" si="17"/>
        <v>0</v>
      </c>
      <c r="U40" s="246">
        <f t="shared" si="17"/>
        <v>0</v>
      </c>
      <c r="V40" s="246">
        <f t="shared" si="17"/>
        <v>1015316</v>
      </c>
      <c r="W40" s="246">
        <f>W41</f>
        <v>39772</v>
      </c>
      <c r="X40" s="247"/>
    </row>
    <row r="41" spans="1:24" s="151" customFormat="1" ht="43.5" customHeight="1">
      <c r="A41" s="197">
        <v>1</v>
      </c>
      <c r="B41" s="169" t="s">
        <v>89</v>
      </c>
      <c r="C41" s="169" t="s">
        <v>89</v>
      </c>
      <c r="D41" s="169"/>
      <c r="E41" s="169"/>
      <c r="F41" s="199"/>
      <c r="G41" s="199"/>
      <c r="H41" s="199"/>
      <c r="I41" s="168"/>
      <c r="J41" s="171">
        <f t="shared" si="17"/>
        <v>1499213</v>
      </c>
      <c r="K41" s="171">
        <f t="shared" si="17"/>
        <v>1001934</v>
      </c>
      <c r="L41" s="171">
        <f t="shared" si="17"/>
        <v>13390</v>
      </c>
      <c r="M41" s="171">
        <f t="shared" si="17"/>
        <v>483897</v>
      </c>
      <c r="N41" s="171">
        <f t="shared" si="17"/>
        <v>0</v>
      </c>
      <c r="O41" s="171">
        <f t="shared" si="17"/>
        <v>0</v>
      </c>
      <c r="P41" s="171">
        <f t="shared" si="17"/>
        <v>0</v>
      </c>
      <c r="Q41" s="171">
        <f t="shared" si="17"/>
        <v>0</v>
      </c>
      <c r="R41" s="171">
        <f t="shared" si="17"/>
        <v>0</v>
      </c>
      <c r="S41" s="171">
        <f t="shared" si="17"/>
        <v>0</v>
      </c>
      <c r="T41" s="171">
        <f t="shared" si="17"/>
        <v>0</v>
      </c>
      <c r="U41" s="171">
        <f t="shared" si="17"/>
        <v>0</v>
      </c>
      <c r="V41" s="171">
        <f t="shared" si="17"/>
        <v>1015316</v>
      </c>
      <c r="W41" s="171">
        <f>W42</f>
        <v>39772</v>
      </c>
      <c r="X41" s="172"/>
    </row>
    <row r="42" spans="1:24" s="151" customFormat="1" ht="43.5" customHeight="1">
      <c r="A42" s="207" t="s">
        <v>1305</v>
      </c>
      <c r="B42" s="169" t="s">
        <v>38</v>
      </c>
      <c r="C42" s="198" t="s">
        <v>89</v>
      </c>
      <c r="D42" s="169"/>
      <c r="E42" s="169"/>
      <c r="F42" s="199"/>
      <c r="G42" s="199"/>
      <c r="H42" s="199"/>
      <c r="I42" s="168"/>
      <c r="J42" s="171">
        <f t="shared" ref="J42:V42" si="18">J43+J44+J45</f>
        <v>1499213</v>
      </c>
      <c r="K42" s="171">
        <f t="shared" si="18"/>
        <v>1001934</v>
      </c>
      <c r="L42" s="171">
        <f t="shared" si="18"/>
        <v>13390</v>
      </c>
      <c r="M42" s="171">
        <f t="shared" si="18"/>
        <v>483897</v>
      </c>
      <c r="N42" s="171">
        <f t="shared" si="18"/>
        <v>0</v>
      </c>
      <c r="O42" s="171">
        <f t="shared" si="18"/>
        <v>0</v>
      </c>
      <c r="P42" s="171">
        <f t="shared" si="18"/>
        <v>0</v>
      </c>
      <c r="Q42" s="171">
        <f t="shared" si="18"/>
        <v>0</v>
      </c>
      <c r="R42" s="171">
        <f t="shared" si="18"/>
        <v>0</v>
      </c>
      <c r="S42" s="171">
        <f t="shared" si="18"/>
        <v>0</v>
      </c>
      <c r="T42" s="171">
        <f t="shared" si="18"/>
        <v>0</v>
      </c>
      <c r="U42" s="171">
        <f t="shared" si="18"/>
        <v>0</v>
      </c>
      <c r="V42" s="171">
        <f t="shared" si="18"/>
        <v>1015316</v>
      </c>
      <c r="W42" s="171">
        <f>W43+W44+W45</f>
        <v>39772</v>
      </c>
      <c r="X42" s="172"/>
    </row>
    <row r="43" spans="1:24" s="147" customFormat="1" ht="43.5" customHeight="1">
      <c r="A43" s="179" t="s">
        <v>39</v>
      </c>
      <c r="B43" s="177" t="s">
        <v>1254</v>
      </c>
      <c r="C43" s="198" t="s">
        <v>89</v>
      </c>
      <c r="D43" s="206"/>
      <c r="E43" s="179"/>
      <c r="F43" s="196"/>
      <c r="G43" s="196"/>
      <c r="H43" s="179"/>
      <c r="I43" s="196"/>
      <c r="J43" s="178"/>
      <c r="K43" s="178"/>
      <c r="L43" s="178"/>
      <c r="M43" s="178"/>
      <c r="N43" s="178"/>
      <c r="O43" s="178"/>
      <c r="P43" s="178"/>
      <c r="Q43" s="178"/>
      <c r="R43" s="178"/>
      <c r="S43" s="178"/>
      <c r="T43" s="178"/>
      <c r="U43" s="178"/>
      <c r="V43" s="178"/>
      <c r="W43" s="178"/>
      <c r="X43" s="179"/>
    </row>
    <row r="44" spans="1:24" s="147" customFormat="1" ht="43.5" customHeight="1">
      <c r="A44" s="176" t="s">
        <v>467</v>
      </c>
      <c r="B44" s="200" t="s">
        <v>56</v>
      </c>
      <c r="C44" s="198" t="s">
        <v>89</v>
      </c>
      <c r="D44" s="200"/>
      <c r="E44" s="200"/>
      <c r="F44" s="40"/>
      <c r="G44" s="183"/>
      <c r="H44" s="183"/>
      <c r="I44" s="183"/>
      <c r="J44" s="188"/>
      <c r="K44" s="188"/>
      <c r="L44" s="188"/>
      <c r="M44" s="188"/>
      <c r="N44" s="188"/>
      <c r="O44" s="188"/>
      <c r="P44" s="188"/>
      <c r="Q44" s="188"/>
      <c r="R44" s="188"/>
      <c r="S44" s="188"/>
      <c r="T44" s="188"/>
      <c r="U44" s="188"/>
      <c r="V44" s="188"/>
      <c r="W44" s="188"/>
      <c r="X44" s="189"/>
    </row>
    <row r="45" spans="1:24" s="150" customFormat="1" ht="43.5" customHeight="1">
      <c r="A45" s="176" t="s">
        <v>1306</v>
      </c>
      <c r="B45" s="182" t="s">
        <v>1307</v>
      </c>
      <c r="C45" s="198" t="s">
        <v>89</v>
      </c>
      <c r="D45" s="200"/>
      <c r="E45" s="200"/>
      <c r="F45" s="201"/>
      <c r="G45" s="201"/>
      <c r="H45" s="201"/>
      <c r="I45" s="190"/>
      <c r="J45" s="178">
        <f t="shared" ref="J45:V45" si="19">J46</f>
        <v>1499213</v>
      </c>
      <c r="K45" s="178">
        <f t="shared" si="19"/>
        <v>1001934</v>
      </c>
      <c r="L45" s="178">
        <f t="shared" si="19"/>
        <v>13390</v>
      </c>
      <c r="M45" s="178">
        <f t="shared" si="19"/>
        <v>483897</v>
      </c>
      <c r="N45" s="178">
        <f t="shared" si="19"/>
        <v>0</v>
      </c>
      <c r="O45" s="178">
        <f t="shared" si="19"/>
        <v>0</v>
      </c>
      <c r="P45" s="178">
        <f t="shared" si="19"/>
        <v>0</v>
      </c>
      <c r="Q45" s="178">
        <f t="shared" si="19"/>
        <v>0</v>
      </c>
      <c r="R45" s="178">
        <f t="shared" si="19"/>
        <v>0</v>
      </c>
      <c r="S45" s="178">
        <f t="shared" si="19"/>
        <v>0</v>
      </c>
      <c r="T45" s="178">
        <f t="shared" si="19"/>
        <v>0</v>
      </c>
      <c r="U45" s="178">
        <f t="shared" si="19"/>
        <v>0</v>
      </c>
      <c r="V45" s="178">
        <f t="shared" si="19"/>
        <v>1015316</v>
      </c>
      <c r="W45" s="178">
        <v>39772</v>
      </c>
      <c r="X45" s="179"/>
    </row>
    <row r="46" spans="1:24" s="23" customFormat="1" ht="43.5" customHeight="1">
      <c r="A46" s="232" t="s">
        <v>144</v>
      </c>
      <c r="B46" s="233" t="s">
        <v>164</v>
      </c>
      <c r="C46" s="234" t="s">
        <v>89</v>
      </c>
      <c r="D46" s="233"/>
      <c r="E46" s="233"/>
      <c r="F46" s="248" t="s">
        <v>172</v>
      </c>
      <c r="G46" s="248" t="s">
        <v>171</v>
      </c>
      <c r="H46" s="240" t="s">
        <v>165</v>
      </c>
      <c r="I46" s="235" t="s">
        <v>166</v>
      </c>
      <c r="J46" s="236">
        <v>1499213</v>
      </c>
      <c r="K46" s="236">
        <v>1001934</v>
      </c>
      <c r="L46" s="236">
        <f>497287-M46</f>
        <v>13390</v>
      </c>
      <c r="M46" s="236">
        <v>483897</v>
      </c>
      <c r="N46" s="236"/>
      <c r="O46" s="236"/>
      <c r="P46" s="236"/>
      <c r="Q46" s="236"/>
      <c r="R46" s="236"/>
      <c r="S46" s="236"/>
      <c r="T46" s="236"/>
      <c r="U46" s="236"/>
      <c r="V46" s="237">
        <v>1015316</v>
      </c>
      <c r="W46" s="236">
        <v>39772</v>
      </c>
      <c r="X46" s="238" t="s">
        <v>1639</v>
      </c>
    </row>
    <row r="48" spans="1:24" s="152" customFormat="1" ht="43.5" customHeight="1">
      <c r="A48" s="146"/>
      <c r="B48" s="146"/>
      <c r="D48" s="146"/>
      <c r="E48" s="146"/>
      <c r="F48" s="146"/>
      <c r="G48" s="146"/>
      <c r="H48" s="146"/>
      <c r="J48" s="146"/>
      <c r="K48" s="146"/>
      <c r="L48" s="146"/>
      <c r="M48" s="146"/>
      <c r="N48" s="146"/>
      <c r="O48" s="146"/>
      <c r="P48" s="146"/>
      <c r="Q48" s="146"/>
      <c r="R48" s="146"/>
      <c r="S48" s="146"/>
      <c r="T48" s="146"/>
      <c r="U48" s="146"/>
      <c r="V48" s="146"/>
      <c r="W48" s="146"/>
    </row>
  </sheetData>
  <autoFilter ref="A2:X46" xr:uid="{00000000-0009-0000-0000-000002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autoFilter>
  <mergeCells count="27">
    <mergeCell ref="J7:M7"/>
    <mergeCell ref="J8:J9"/>
    <mergeCell ref="A6:A9"/>
    <mergeCell ref="B6:B9"/>
    <mergeCell ref="C6:C9"/>
    <mergeCell ref="D6:D9"/>
    <mergeCell ref="E6:E9"/>
    <mergeCell ref="F6:F9"/>
    <mergeCell ref="G6:G9"/>
    <mergeCell ref="H6:H9"/>
    <mergeCell ref="I6:M6"/>
    <mergeCell ref="U1:X1"/>
    <mergeCell ref="W6:W9"/>
    <mergeCell ref="V5:X5"/>
    <mergeCell ref="K8:M8"/>
    <mergeCell ref="N8:N9"/>
    <mergeCell ref="O8:Q8"/>
    <mergeCell ref="R8:R9"/>
    <mergeCell ref="S8:U8"/>
    <mergeCell ref="N6:Q7"/>
    <mergeCell ref="R6:U7"/>
    <mergeCell ref="V6:V9"/>
    <mergeCell ref="X6:X9"/>
    <mergeCell ref="A2:X2"/>
    <mergeCell ref="A3:X3"/>
    <mergeCell ref="A4:X4"/>
    <mergeCell ref="I7:I9"/>
  </mergeCells>
  <conditionalFormatting sqref="D1">
    <cfRule type="duplicateValues" dxfId="8" priority="95"/>
    <cfRule type="duplicateValues" dxfId="7" priority="96"/>
  </conditionalFormatting>
  <printOptions horizontalCentered="1"/>
  <pageMargins left="0.15748031496062992" right="3.937007874015748E-2" top="0.39370078740157483" bottom="0.31496062992125984" header="0.19685039370078741" footer="0.19685039370078741"/>
  <pageSetup paperSize="9" scale="50" fitToHeight="0" orientation="landscape" verticalDpi="300" r:id="rId1"/>
  <headerFooter>
    <oddFooter>&amp;C&amp;P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95"/>
  <sheetViews>
    <sheetView showZeros="0" zoomScale="82" zoomScaleNormal="82" workbookViewId="0">
      <pane xSplit="11" ySplit="10" topLeftCell="L11" activePane="bottomRight" state="frozen"/>
      <selection pane="topRight" activeCell="L1" sqref="L1"/>
      <selection pane="bottomLeft" activeCell="A11" sqref="A11"/>
      <selection pane="bottomRight" activeCell="M15" sqref="M15"/>
    </sheetView>
  </sheetViews>
  <sheetFormatPr defaultColWidth="10.42578125" defaultRowHeight="15"/>
  <cols>
    <col min="1" max="1" width="5.7109375" style="6" customWidth="1"/>
    <col min="2" max="2" width="33" style="6" customWidth="1"/>
    <col min="3" max="3" width="20.28515625" style="772" hidden="1" customWidth="1"/>
    <col min="4" max="5" width="10.42578125" style="6" hidden="1" customWidth="1"/>
    <col min="6" max="6" width="9.5703125" style="6" customWidth="1"/>
    <col min="7" max="7" width="8.5703125" style="6" customWidth="1"/>
    <col min="8" max="8" width="9.5703125" style="6" customWidth="1"/>
    <col min="9" max="9" width="14.28515625" style="772" customWidth="1"/>
    <col min="10" max="10" width="12.7109375" style="6" customWidth="1"/>
    <col min="11" max="11" width="10.42578125" style="6" customWidth="1"/>
    <col min="12" max="12" width="11.28515625" style="6" customWidth="1"/>
    <col min="13" max="13" width="11.85546875" style="6" bestFit="1" customWidth="1"/>
    <col min="14" max="14" width="11.42578125" style="6" bestFit="1" customWidth="1"/>
    <col min="15" max="15" width="9" style="6" customWidth="1"/>
    <col min="16" max="16" width="12.85546875" style="6" customWidth="1"/>
    <col min="17" max="17" width="11" style="6" customWidth="1"/>
    <col min="18" max="18" width="11.42578125" style="6" bestFit="1" customWidth="1"/>
    <col min="19" max="19" width="8.7109375" style="6" customWidth="1"/>
    <col min="20" max="20" width="12.28515625" style="6" customWidth="1"/>
    <col min="21" max="21" width="10.5703125" style="6" customWidth="1"/>
    <col min="22" max="22" width="12.42578125" style="6" customWidth="1"/>
    <col min="23" max="23" width="12.140625" style="6" customWidth="1"/>
    <col min="24" max="24" width="11.42578125" style="772" customWidth="1"/>
    <col min="25" max="29" width="10.28515625" style="6" customWidth="1"/>
    <col min="30" max="30" width="10.28515625" style="358" customWidth="1"/>
    <col min="31" max="184" width="10.28515625" style="6" customWidth="1"/>
    <col min="185" max="185" width="4.7109375" style="6" customWidth="1"/>
    <col min="186" max="186" width="37" style="6" customWidth="1"/>
    <col min="187" max="189" width="9.5703125" style="6" customWidth="1"/>
    <col min="190" max="190" width="14.140625" style="6" customWidth="1"/>
    <col min="191" max="16384" width="10.42578125" style="6"/>
  </cols>
  <sheetData>
    <row r="1" spans="1:31" s="359" customFormat="1" ht="51.75" customHeight="1">
      <c r="A1" s="355"/>
      <c r="B1" s="1125"/>
      <c r="C1" s="1125"/>
      <c r="D1" s="1125"/>
      <c r="E1" s="356"/>
      <c r="F1" s="356"/>
      <c r="G1" s="356"/>
      <c r="H1" s="356"/>
      <c r="I1" s="357"/>
      <c r="J1" s="356"/>
      <c r="K1" s="356"/>
      <c r="L1" s="356"/>
      <c r="M1" s="356"/>
      <c r="N1" s="356"/>
      <c r="O1" s="356"/>
      <c r="P1" s="356"/>
      <c r="Q1" s="356"/>
      <c r="R1" s="356"/>
      <c r="S1" s="356"/>
      <c r="T1" s="356"/>
      <c r="U1" s="1102" t="s">
        <v>1866</v>
      </c>
      <c r="V1" s="1102"/>
      <c r="W1" s="1102"/>
      <c r="X1" s="1102"/>
      <c r="AD1" s="358"/>
    </row>
    <row r="2" spans="1:31" ht="30.75" customHeight="1">
      <c r="A2" s="1126" t="s">
        <v>1879</v>
      </c>
      <c r="B2" s="1126"/>
      <c r="C2" s="1126"/>
      <c r="D2" s="1126"/>
      <c r="E2" s="1126"/>
      <c r="F2" s="1126"/>
      <c r="G2" s="1126"/>
      <c r="H2" s="1126"/>
      <c r="I2" s="1126"/>
      <c r="J2" s="1126"/>
      <c r="K2" s="1126"/>
      <c r="L2" s="1126"/>
      <c r="M2" s="1126"/>
      <c r="N2" s="1126"/>
      <c r="O2" s="1126"/>
      <c r="P2" s="1126"/>
      <c r="Q2" s="1126"/>
      <c r="R2" s="1126"/>
      <c r="S2" s="1126"/>
      <c r="T2" s="1126"/>
      <c r="U2" s="1126"/>
      <c r="V2" s="1126"/>
      <c r="W2" s="1126"/>
      <c r="X2" s="1126"/>
    </row>
    <row r="3" spans="1:31" ht="21" customHeight="1">
      <c r="A3" s="1127" t="s">
        <v>1657</v>
      </c>
      <c r="B3" s="1127"/>
      <c r="C3" s="1127"/>
      <c r="D3" s="1127"/>
      <c r="E3" s="1127"/>
      <c r="F3" s="1127"/>
      <c r="G3" s="1127"/>
      <c r="H3" s="1127"/>
      <c r="I3" s="1127"/>
      <c r="J3" s="1127"/>
      <c r="K3" s="1127"/>
      <c r="L3" s="1127"/>
      <c r="M3" s="1127"/>
      <c r="N3" s="1127"/>
      <c r="O3" s="1127"/>
      <c r="P3" s="1127"/>
      <c r="Q3" s="1127"/>
      <c r="R3" s="1127"/>
      <c r="S3" s="1127"/>
      <c r="T3" s="1127"/>
      <c r="U3" s="1127"/>
      <c r="V3" s="1127"/>
      <c r="W3" s="1127"/>
      <c r="X3" s="1127"/>
    </row>
    <row r="4" spans="1:31" ht="21" customHeight="1">
      <c r="A4" s="1123" t="s">
        <v>1881</v>
      </c>
      <c r="B4" s="1123"/>
      <c r="C4" s="1123"/>
      <c r="D4" s="1123"/>
      <c r="E4" s="1123"/>
      <c r="F4" s="1123"/>
      <c r="G4" s="1123"/>
      <c r="H4" s="1123"/>
      <c r="I4" s="1123"/>
      <c r="J4" s="1123"/>
      <c r="K4" s="1123"/>
      <c r="L4" s="1123"/>
      <c r="M4" s="1123"/>
      <c r="N4" s="1123"/>
      <c r="O4" s="1123"/>
      <c r="P4" s="1123"/>
      <c r="Q4" s="1123"/>
      <c r="R4" s="1123"/>
      <c r="S4" s="1123"/>
      <c r="T4" s="1123"/>
      <c r="U4" s="1123"/>
      <c r="V4" s="1123"/>
      <c r="W4" s="1123"/>
      <c r="X4" s="1123"/>
    </row>
    <row r="5" spans="1:31" ht="27" customHeight="1">
      <c r="A5" s="363"/>
      <c r="B5" s="364"/>
      <c r="C5" s="363"/>
      <c r="D5" s="364"/>
      <c r="E5" s="364"/>
      <c r="F5" s="364"/>
      <c r="G5" s="364"/>
      <c r="H5" s="364"/>
      <c r="I5" s="363"/>
      <c r="J5" s="364"/>
      <c r="K5" s="364"/>
      <c r="L5" s="364"/>
      <c r="M5" s="364"/>
      <c r="N5" s="364"/>
      <c r="O5" s="364"/>
      <c r="P5" s="364"/>
      <c r="Q5" s="364"/>
      <c r="R5" s="364"/>
      <c r="S5" s="364"/>
      <c r="T5" s="364"/>
      <c r="U5" s="364"/>
      <c r="V5" s="1124" t="s">
        <v>1</v>
      </c>
      <c r="W5" s="1124"/>
      <c r="X5" s="1124"/>
    </row>
    <row r="6" spans="1:31" s="358" customFormat="1" ht="22.5" customHeight="1">
      <c r="A6" s="1128" t="s">
        <v>2</v>
      </c>
      <c r="B6" s="1122" t="s">
        <v>24</v>
      </c>
      <c r="C6" s="1119" t="s">
        <v>1387</v>
      </c>
      <c r="D6" s="1119" t="s">
        <v>1388</v>
      </c>
      <c r="E6" s="1119" t="s">
        <v>1389</v>
      </c>
      <c r="F6" s="1122" t="s">
        <v>25</v>
      </c>
      <c r="G6" s="1122" t="s">
        <v>26</v>
      </c>
      <c r="H6" s="1122" t="s">
        <v>27</v>
      </c>
      <c r="I6" s="1122" t="s">
        <v>28</v>
      </c>
      <c r="J6" s="1122"/>
      <c r="K6" s="1122"/>
      <c r="L6" s="1122"/>
      <c r="M6" s="1122"/>
      <c r="N6" s="1122" t="s">
        <v>59</v>
      </c>
      <c r="O6" s="1122"/>
      <c r="P6" s="1122"/>
      <c r="Q6" s="1122"/>
      <c r="R6" s="1122" t="s">
        <v>60</v>
      </c>
      <c r="S6" s="1122"/>
      <c r="T6" s="1122"/>
      <c r="U6" s="1122"/>
      <c r="V6" s="1119" t="s">
        <v>1646</v>
      </c>
      <c r="W6" s="1119" t="s">
        <v>61</v>
      </c>
      <c r="X6" s="1122" t="s">
        <v>1243</v>
      </c>
    </row>
    <row r="7" spans="1:31" s="358" customFormat="1" ht="22.5" customHeight="1">
      <c r="A7" s="1128"/>
      <c r="B7" s="1122"/>
      <c r="C7" s="1120"/>
      <c r="D7" s="1120"/>
      <c r="E7" s="1120"/>
      <c r="F7" s="1122"/>
      <c r="G7" s="1122"/>
      <c r="H7" s="1122"/>
      <c r="I7" s="1122" t="s">
        <v>29</v>
      </c>
      <c r="J7" s="1122" t="s">
        <v>30</v>
      </c>
      <c r="K7" s="1122"/>
      <c r="L7" s="1122"/>
      <c r="M7" s="1122"/>
      <c r="N7" s="1122"/>
      <c r="O7" s="1122"/>
      <c r="P7" s="1122"/>
      <c r="Q7" s="1122"/>
      <c r="R7" s="1122"/>
      <c r="S7" s="1122"/>
      <c r="T7" s="1122"/>
      <c r="U7" s="1122"/>
      <c r="V7" s="1120"/>
      <c r="W7" s="1120"/>
      <c r="X7" s="1122"/>
    </row>
    <row r="8" spans="1:31" s="358" customFormat="1" ht="22.5" customHeight="1">
      <c r="A8" s="1128"/>
      <c r="B8" s="1122"/>
      <c r="C8" s="1120"/>
      <c r="D8" s="1120"/>
      <c r="E8" s="1120"/>
      <c r="F8" s="1122"/>
      <c r="G8" s="1122"/>
      <c r="H8" s="1122"/>
      <c r="I8" s="1122"/>
      <c r="J8" s="1122" t="s">
        <v>31</v>
      </c>
      <c r="K8" s="1122" t="s">
        <v>32</v>
      </c>
      <c r="L8" s="1122"/>
      <c r="M8" s="1122"/>
      <c r="N8" s="1122" t="s">
        <v>4</v>
      </c>
      <c r="O8" s="1122" t="s">
        <v>32</v>
      </c>
      <c r="P8" s="1122"/>
      <c r="Q8" s="1122"/>
      <c r="R8" s="1122" t="s">
        <v>4</v>
      </c>
      <c r="S8" s="1122" t="s">
        <v>32</v>
      </c>
      <c r="T8" s="1122"/>
      <c r="U8" s="1122"/>
      <c r="V8" s="1120"/>
      <c r="W8" s="1120"/>
      <c r="X8" s="1122"/>
    </row>
    <row r="9" spans="1:31" s="358" customFormat="1" ht="43.5" customHeight="1">
      <c r="A9" s="1128"/>
      <c r="B9" s="1122"/>
      <c r="C9" s="1121"/>
      <c r="D9" s="1121"/>
      <c r="E9" s="1121"/>
      <c r="F9" s="1122"/>
      <c r="G9" s="1122"/>
      <c r="H9" s="1122"/>
      <c r="I9" s="1122"/>
      <c r="J9" s="1122"/>
      <c r="K9" s="377" t="s">
        <v>33</v>
      </c>
      <c r="L9" s="371" t="s">
        <v>34</v>
      </c>
      <c r="M9" s="371" t="s">
        <v>35</v>
      </c>
      <c r="N9" s="1122"/>
      <c r="O9" s="371" t="s">
        <v>33</v>
      </c>
      <c r="P9" s="371" t="s">
        <v>34</v>
      </c>
      <c r="Q9" s="371" t="s">
        <v>35</v>
      </c>
      <c r="R9" s="1122"/>
      <c r="S9" s="371" t="s">
        <v>33</v>
      </c>
      <c r="T9" s="371" t="s">
        <v>34</v>
      </c>
      <c r="U9" s="371" t="s">
        <v>35</v>
      </c>
      <c r="V9" s="1121"/>
      <c r="W9" s="1121"/>
      <c r="X9" s="1122"/>
    </row>
    <row r="10" spans="1:31" ht="18" customHeight="1">
      <c r="A10" s="372" t="s">
        <v>21</v>
      </c>
      <c r="B10" s="373" t="s">
        <v>22</v>
      </c>
      <c r="C10" s="374"/>
      <c r="D10" s="373"/>
      <c r="E10" s="373"/>
      <c r="F10" s="372">
        <v>1</v>
      </c>
      <c r="G10" s="372">
        <v>2</v>
      </c>
      <c r="H10" s="372">
        <v>3</v>
      </c>
      <c r="I10" s="372">
        <v>4</v>
      </c>
      <c r="J10" s="372">
        <v>5</v>
      </c>
      <c r="K10" s="372">
        <v>6</v>
      </c>
      <c r="L10" s="372">
        <v>7</v>
      </c>
      <c r="M10" s="372">
        <v>8</v>
      </c>
      <c r="N10" s="372">
        <v>9</v>
      </c>
      <c r="O10" s="372">
        <v>10</v>
      </c>
      <c r="P10" s="372">
        <v>11</v>
      </c>
      <c r="Q10" s="372">
        <v>12</v>
      </c>
      <c r="R10" s="372">
        <v>13</v>
      </c>
      <c r="S10" s="372">
        <v>14</v>
      </c>
      <c r="T10" s="372">
        <v>15</v>
      </c>
      <c r="U10" s="372">
        <v>16</v>
      </c>
      <c r="V10" s="372">
        <v>17</v>
      </c>
      <c r="W10" s="372">
        <v>18</v>
      </c>
      <c r="X10" s="372">
        <v>19</v>
      </c>
    </row>
    <row r="11" spans="1:31" ht="23.25" customHeight="1">
      <c r="A11" s="773"/>
      <c r="B11" s="774" t="s">
        <v>4</v>
      </c>
      <c r="C11" s="774"/>
      <c r="D11" s="774"/>
      <c r="E11" s="774"/>
      <c r="F11" s="775"/>
      <c r="G11" s="775"/>
      <c r="H11" s="775"/>
      <c r="I11" s="775"/>
      <c r="J11" s="776">
        <f>+J12</f>
        <v>26833696</v>
      </c>
      <c r="K11" s="776">
        <f t="shared" ref="K11:U11" si="0">+K12</f>
        <v>108609</v>
      </c>
      <c r="L11" s="776">
        <f t="shared" si="0"/>
        <v>9604595</v>
      </c>
      <c r="M11" s="776">
        <f t="shared" si="0"/>
        <v>5500492</v>
      </c>
      <c r="N11" s="776">
        <f t="shared" si="0"/>
        <v>4499442</v>
      </c>
      <c r="O11" s="776">
        <f t="shared" si="0"/>
        <v>98519</v>
      </c>
      <c r="P11" s="776">
        <f t="shared" si="0"/>
        <v>4126957</v>
      </c>
      <c r="Q11" s="776">
        <f t="shared" si="0"/>
        <v>267966</v>
      </c>
      <c r="R11" s="776">
        <f t="shared" si="0"/>
        <v>6745061</v>
      </c>
      <c r="S11" s="776">
        <f t="shared" si="0"/>
        <v>85233</v>
      </c>
      <c r="T11" s="776">
        <f t="shared" si="0"/>
        <v>5693966</v>
      </c>
      <c r="U11" s="776">
        <f t="shared" si="0"/>
        <v>965862</v>
      </c>
      <c r="V11" s="776">
        <f>+V12</f>
        <v>6202805</v>
      </c>
      <c r="W11" s="776">
        <f>+W12</f>
        <v>1708638</v>
      </c>
      <c r="X11" s="775"/>
      <c r="AE11" s="119"/>
    </row>
    <row r="12" spans="1:31" s="8" customFormat="1" ht="35.25" customHeight="1">
      <c r="A12" s="613" t="s">
        <v>36</v>
      </c>
      <c r="B12" s="317" t="s">
        <v>46</v>
      </c>
      <c r="C12" s="320"/>
      <c r="D12" s="317"/>
      <c r="E12" s="317"/>
      <c r="F12" s="320"/>
      <c r="G12" s="320"/>
      <c r="H12" s="320"/>
      <c r="I12" s="320"/>
      <c r="J12" s="14">
        <f>+J13+J40+J88</f>
        <v>26833696</v>
      </c>
      <c r="K12" s="14">
        <f t="shared" ref="K12:U12" si="1">+K13+K40+K88</f>
        <v>108609</v>
      </c>
      <c r="L12" s="14">
        <f t="shared" si="1"/>
        <v>9604595</v>
      </c>
      <c r="M12" s="14">
        <f t="shared" si="1"/>
        <v>5500492</v>
      </c>
      <c r="N12" s="14">
        <f t="shared" si="1"/>
        <v>4499442</v>
      </c>
      <c r="O12" s="14">
        <f t="shared" si="1"/>
        <v>98519</v>
      </c>
      <c r="P12" s="14">
        <f t="shared" si="1"/>
        <v>4126957</v>
      </c>
      <c r="Q12" s="14">
        <f t="shared" si="1"/>
        <v>267966</v>
      </c>
      <c r="R12" s="14">
        <f t="shared" si="1"/>
        <v>6745061</v>
      </c>
      <c r="S12" s="14">
        <f t="shared" si="1"/>
        <v>85233</v>
      </c>
      <c r="T12" s="14">
        <f t="shared" si="1"/>
        <v>5693966</v>
      </c>
      <c r="U12" s="14">
        <f t="shared" si="1"/>
        <v>965862</v>
      </c>
      <c r="V12" s="14">
        <f>+V13+V40+V88</f>
        <v>6202805</v>
      </c>
      <c r="W12" s="14">
        <f>+W13+W40+W88</f>
        <v>1708638</v>
      </c>
      <c r="X12" s="102"/>
      <c r="AD12" s="338"/>
      <c r="AE12" s="119"/>
    </row>
    <row r="13" spans="1:31" s="8" customFormat="1" ht="48" customHeight="1">
      <c r="A13" s="474" t="s">
        <v>1655</v>
      </c>
      <c r="B13" s="317" t="s">
        <v>47</v>
      </c>
      <c r="C13" s="320"/>
      <c r="D13" s="317"/>
      <c r="E13" s="317"/>
      <c r="F13" s="320"/>
      <c r="G13" s="320"/>
      <c r="H13" s="320"/>
      <c r="I13" s="320"/>
      <c r="J13" s="14">
        <f>+J14+J20+J28+J34</f>
        <v>2984531</v>
      </c>
      <c r="K13" s="14">
        <f t="shared" ref="K13:W13" si="2">+K14+K20+K28+K34</f>
        <v>108609</v>
      </c>
      <c r="L13" s="14">
        <f t="shared" si="2"/>
        <v>2481374</v>
      </c>
      <c r="M13" s="14">
        <f t="shared" si="2"/>
        <v>394548</v>
      </c>
      <c r="N13" s="14">
        <f t="shared" si="2"/>
        <v>1606182</v>
      </c>
      <c r="O13" s="14">
        <f t="shared" si="2"/>
        <v>98519</v>
      </c>
      <c r="P13" s="14">
        <f t="shared" si="2"/>
        <v>1297463</v>
      </c>
      <c r="Q13" s="14">
        <f t="shared" si="2"/>
        <v>204200</v>
      </c>
      <c r="R13" s="14">
        <f t="shared" si="2"/>
        <v>2188182</v>
      </c>
      <c r="S13" s="14">
        <f t="shared" si="2"/>
        <v>85233</v>
      </c>
      <c r="T13" s="14">
        <f t="shared" si="2"/>
        <v>1898749</v>
      </c>
      <c r="U13" s="14">
        <f t="shared" si="2"/>
        <v>204200</v>
      </c>
      <c r="V13" s="14">
        <f t="shared" si="2"/>
        <v>1196913</v>
      </c>
      <c r="W13" s="14">
        <f t="shared" si="2"/>
        <v>356121</v>
      </c>
      <c r="X13" s="102"/>
      <c r="AD13" s="338"/>
      <c r="AE13" s="119"/>
    </row>
    <row r="14" spans="1:31" s="231" customFormat="1" ht="22.5" customHeight="1">
      <c r="A14" s="474">
        <v>1</v>
      </c>
      <c r="B14" s="317" t="s">
        <v>124</v>
      </c>
      <c r="C14" s="317" t="s">
        <v>124</v>
      </c>
      <c r="D14" s="317"/>
      <c r="E14" s="317"/>
      <c r="F14" s="320"/>
      <c r="G14" s="320"/>
      <c r="H14" s="320"/>
      <c r="I14" s="320"/>
      <c r="J14" s="14">
        <f t="shared" ref="J14:U14" si="3">J15</f>
        <v>126995</v>
      </c>
      <c r="K14" s="14">
        <f t="shared" si="3"/>
        <v>108609</v>
      </c>
      <c r="L14" s="14">
        <f t="shared" si="3"/>
        <v>18000</v>
      </c>
      <c r="M14" s="14">
        <f t="shared" si="3"/>
        <v>386</v>
      </c>
      <c r="N14" s="14">
        <f t="shared" si="3"/>
        <v>115040</v>
      </c>
      <c r="O14" s="14">
        <f t="shared" si="3"/>
        <v>98519</v>
      </c>
      <c r="P14" s="14">
        <f t="shared" si="3"/>
        <v>10521</v>
      </c>
      <c r="Q14" s="14">
        <f t="shared" si="3"/>
        <v>0</v>
      </c>
      <c r="R14" s="14">
        <f t="shared" si="3"/>
        <v>88754</v>
      </c>
      <c r="S14" s="14">
        <f t="shared" si="3"/>
        <v>85233</v>
      </c>
      <c r="T14" s="14">
        <f t="shared" si="3"/>
        <v>3521</v>
      </c>
      <c r="U14" s="14">
        <f t="shared" si="3"/>
        <v>0</v>
      </c>
      <c r="V14" s="14">
        <f>V15</f>
        <v>47438</v>
      </c>
      <c r="W14" s="14">
        <f>W15</f>
        <v>14121</v>
      </c>
      <c r="X14" s="102"/>
      <c r="AD14" s="46"/>
      <c r="AE14" s="119"/>
    </row>
    <row r="15" spans="1:31" s="422" customFormat="1" ht="22.5" customHeight="1">
      <c r="A15" s="393" t="s">
        <v>1305</v>
      </c>
      <c r="B15" s="394" t="s">
        <v>38</v>
      </c>
      <c r="C15" s="15" t="s">
        <v>124</v>
      </c>
      <c r="D15" s="394"/>
      <c r="E15" s="394"/>
      <c r="F15" s="421"/>
      <c r="G15" s="421"/>
      <c r="H15" s="421"/>
      <c r="I15" s="421"/>
      <c r="J15" s="453">
        <f>+J16+J17+J19</f>
        <v>126995</v>
      </c>
      <c r="K15" s="453">
        <f t="shared" ref="K15:U15" si="4">K17+K16+K19</f>
        <v>108609</v>
      </c>
      <c r="L15" s="453">
        <f t="shared" si="4"/>
        <v>18000</v>
      </c>
      <c r="M15" s="453">
        <f t="shared" si="4"/>
        <v>386</v>
      </c>
      <c r="N15" s="453">
        <f t="shared" si="4"/>
        <v>115040</v>
      </c>
      <c r="O15" s="453">
        <f t="shared" si="4"/>
        <v>98519</v>
      </c>
      <c r="P15" s="453">
        <f t="shared" si="4"/>
        <v>10521</v>
      </c>
      <c r="Q15" s="453">
        <f t="shared" si="4"/>
        <v>0</v>
      </c>
      <c r="R15" s="453">
        <f t="shared" si="4"/>
        <v>88754</v>
      </c>
      <c r="S15" s="453">
        <f t="shared" si="4"/>
        <v>85233</v>
      </c>
      <c r="T15" s="453">
        <f t="shared" si="4"/>
        <v>3521</v>
      </c>
      <c r="U15" s="453">
        <f t="shared" si="4"/>
        <v>0</v>
      </c>
      <c r="V15" s="453">
        <f>V16+V17+V19</f>
        <v>47438</v>
      </c>
      <c r="W15" s="453">
        <f>W16+W17+W19</f>
        <v>14121</v>
      </c>
      <c r="X15" s="454"/>
      <c r="AD15" s="567"/>
      <c r="AE15" s="119"/>
    </row>
    <row r="16" spans="1:31" s="10" customFormat="1" ht="39.75" customHeight="1">
      <c r="A16" s="332" t="s">
        <v>39</v>
      </c>
      <c r="B16" s="326" t="s">
        <v>1254</v>
      </c>
      <c r="C16" s="15" t="s">
        <v>124</v>
      </c>
      <c r="D16" s="554"/>
      <c r="E16" s="332"/>
      <c r="F16" s="471"/>
      <c r="G16" s="471"/>
      <c r="H16" s="332"/>
      <c r="I16" s="471"/>
      <c r="J16" s="331"/>
      <c r="K16" s="331"/>
      <c r="L16" s="331"/>
      <c r="M16" s="331"/>
      <c r="N16" s="331"/>
      <c r="O16" s="331"/>
      <c r="P16" s="331"/>
      <c r="Q16" s="331"/>
      <c r="R16" s="331"/>
      <c r="S16" s="331"/>
      <c r="T16" s="331"/>
      <c r="U16" s="331"/>
      <c r="V16" s="331"/>
      <c r="W16" s="331"/>
      <c r="X16" s="332"/>
      <c r="AD16" s="339"/>
      <c r="AE16" s="119"/>
    </row>
    <row r="17" spans="1:31" s="10" customFormat="1" ht="51" customHeight="1">
      <c r="A17" s="397" t="s">
        <v>467</v>
      </c>
      <c r="B17" s="400" t="s">
        <v>56</v>
      </c>
      <c r="C17" s="15" t="s">
        <v>124</v>
      </c>
      <c r="D17" s="400"/>
      <c r="E17" s="400"/>
      <c r="F17" s="328"/>
      <c r="G17" s="328"/>
      <c r="H17" s="328"/>
      <c r="I17" s="328"/>
      <c r="J17" s="436">
        <f>+J18</f>
        <v>126995</v>
      </c>
      <c r="K17" s="436">
        <f t="shared" ref="K17:U17" si="5">+K18</f>
        <v>108609</v>
      </c>
      <c r="L17" s="436">
        <f t="shared" si="5"/>
        <v>18000</v>
      </c>
      <c r="M17" s="436">
        <f t="shared" si="5"/>
        <v>386</v>
      </c>
      <c r="N17" s="436">
        <f t="shared" si="5"/>
        <v>115040</v>
      </c>
      <c r="O17" s="436">
        <f t="shared" si="5"/>
        <v>98519</v>
      </c>
      <c r="P17" s="436">
        <f t="shared" si="5"/>
        <v>10521</v>
      </c>
      <c r="Q17" s="436">
        <f t="shared" si="5"/>
        <v>0</v>
      </c>
      <c r="R17" s="436">
        <f t="shared" si="5"/>
        <v>88754</v>
      </c>
      <c r="S17" s="436">
        <f t="shared" si="5"/>
        <v>85233</v>
      </c>
      <c r="T17" s="436">
        <f t="shared" si="5"/>
        <v>3521</v>
      </c>
      <c r="U17" s="436">
        <f t="shared" si="5"/>
        <v>0</v>
      </c>
      <c r="V17" s="436">
        <f>V18</f>
        <v>47438</v>
      </c>
      <c r="W17" s="436">
        <f>W18</f>
        <v>14121</v>
      </c>
      <c r="X17" s="437"/>
      <c r="AD17" s="339"/>
      <c r="AE17" s="119"/>
    </row>
    <row r="18" spans="1:31" s="8" customFormat="1" ht="89.25" customHeight="1">
      <c r="A18" s="621" t="s">
        <v>144</v>
      </c>
      <c r="B18" s="622" t="s">
        <v>125</v>
      </c>
      <c r="C18" s="15" t="s">
        <v>124</v>
      </c>
      <c r="D18" s="622"/>
      <c r="E18" s="622"/>
      <c r="F18" s="433" t="s">
        <v>126</v>
      </c>
      <c r="G18" s="433" t="s">
        <v>175</v>
      </c>
      <c r="H18" s="433" t="s">
        <v>127</v>
      </c>
      <c r="I18" s="433" t="s">
        <v>143</v>
      </c>
      <c r="J18" s="12">
        <v>126995</v>
      </c>
      <c r="K18" s="12">
        <v>108609</v>
      </c>
      <c r="L18" s="12">
        <v>18000</v>
      </c>
      <c r="M18" s="12">
        <v>386</v>
      </c>
      <c r="N18" s="12">
        <v>115040</v>
      </c>
      <c r="O18" s="12">
        <v>98519</v>
      </c>
      <c r="P18" s="12">
        <v>10521</v>
      </c>
      <c r="Q18" s="12"/>
      <c r="R18" s="12">
        <f>S18+T18+U18</f>
        <v>88754</v>
      </c>
      <c r="S18" s="12">
        <f>98519-13286</f>
        <v>85233</v>
      </c>
      <c r="T18" s="12">
        <v>3521</v>
      </c>
      <c r="U18" s="12"/>
      <c r="V18" s="12">
        <v>47438</v>
      </c>
      <c r="W18" s="12">
        <v>14121</v>
      </c>
      <c r="X18" s="91" t="s">
        <v>1622</v>
      </c>
      <c r="AD18" s="338"/>
      <c r="AE18" s="119"/>
    </row>
    <row r="19" spans="1:31" s="417" customFormat="1" ht="28.5" customHeight="1">
      <c r="A19" s="327" t="s">
        <v>1306</v>
      </c>
      <c r="B19" s="413" t="s">
        <v>1307</v>
      </c>
      <c r="C19" s="15" t="s">
        <v>124</v>
      </c>
      <c r="D19" s="494"/>
      <c r="E19" s="494"/>
      <c r="F19" s="494"/>
      <c r="G19" s="494"/>
      <c r="H19" s="494"/>
      <c r="I19" s="327"/>
      <c r="J19" s="331"/>
      <c r="K19" s="331"/>
      <c r="L19" s="331"/>
      <c r="M19" s="331"/>
      <c r="N19" s="331"/>
      <c r="O19" s="331"/>
      <c r="P19" s="331"/>
      <c r="Q19" s="331"/>
      <c r="R19" s="331"/>
      <c r="S19" s="331"/>
      <c r="T19" s="331"/>
      <c r="U19" s="331"/>
      <c r="V19" s="331"/>
      <c r="W19" s="331"/>
      <c r="X19" s="332"/>
      <c r="AD19" s="339"/>
      <c r="AE19" s="119"/>
    </row>
    <row r="20" spans="1:31" s="231" customFormat="1" ht="32.25" customHeight="1">
      <c r="A20" s="474">
        <v>2</v>
      </c>
      <c r="B20" s="624" t="s">
        <v>128</v>
      </c>
      <c r="C20" s="624" t="s">
        <v>128</v>
      </c>
      <c r="D20" s="624"/>
      <c r="E20" s="624"/>
      <c r="F20" s="14"/>
      <c r="G20" s="14"/>
      <c r="H20" s="14"/>
      <c r="I20" s="102"/>
      <c r="J20" s="14">
        <f t="shared" ref="J20:U20" si="6">J21</f>
        <v>1381840</v>
      </c>
      <c r="K20" s="14">
        <f t="shared" si="6"/>
        <v>0</v>
      </c>
      <c r="L20" s="14">
        <f t="shared" si="6"/>
        <v>987678</v>
      </c>
      <c r="M20" s="14">
        <f t="shared" si="6"/>
        <v>394162</v>
      </c>
      <c r="N20" s="14">
        <f t="shared" si="6"/>
        <v>673732</v>
      </c>
      <c r="O20" s="14">
        <f t="shared" si="6"/>
        <v>0</v>
      </c>
      <c r="P20" s="14">
        <f t="shared" si="6"/>
        <v>469532</v>
      </c>
      <c r="Q20" s="14">
        <f t="shared" si="6"/>
        <v>204200</v>
      </c>
      <c r="R20" s="14">
        <f t="shared" si="6"/>
        <v>673732</v>
      </c>
      <c r="S20" s="14">
        <f t="shared" si="6"/>
        <v>0</v>
      </c>
      <c r="T20" s="14">
        <f t="shared" si="6"/>
        <v>469532</v>
      </c>
      <c r="U20" s="14">
        <f t="shared" si="6"/>
        <v>204200</v>
      </c>
      <c r="V20" s="14">
        <f>V21</f>
        <v>487000</v>
      </c>
      <c r="W20" s="14">
        <f>W21</f>
        <v>320000</v>
      </c>
      <c r="X20" s="102"/>
      <c r="AD20" s="46"/>
      <c r="AE20" s="119"/>
    </row>
    <row r="21" spans="1:31" s="10" customFormat="1" ht="22.5" customHeight="1">
      <c r="A21" s="393" t="s">
        <v>1287</v>
      </c>
      <c r="B21" s="394" t="s">
        <v>38</v>
      </c>
      <c r="C21" s="625" t="s">
        <v>128</v>
      </c>
      <c r="D21" s="394"/>
      <c r="E21" s="394"/>
      <c r="F21" s="436"/>
      <c r="G21" s="436"/>
      <c r="H21" s="436"/>
      <c r="I21" s="437"/>
      <c r="J21" s="436">
        <f t="shared" ref="J21:U21" si="7">J23+J22+J27</f>
        <v>1381840</v>
      </c>
      <c r="K21" s="436">
        <f t="shared" si="7"/>
        <v>0</v>
      </c>
      <c r="L21" s="436">
        <f t="shared" si="7"/>
        <v>987678</v>
      </c>
      <c r="M21" s="436">
        <f t="shared" si="7"/>
        <v>394162</v>
      </c>
      <c r="N21" s="436">
        <f t="shared" si="7"/>
        <v>673732</v>
      </c>
      <c r="O21" s="436">
        <f t="shared" si="7"/>
        <v>0</v>
      </c>
      <c r="P21" s="436">
        <f t="shared" si="7"/>
        <v>469532</v>
      </c>
      <c r="Q21" s="436">
        <f t="shared" si="7"/>
        <v>204200</v>
      </c>
      <c r="R21" s="436">
        <f t="shared" si="7"/>
        <v>673732</v>
      </c>
      <c r="S21" s="436">
        <f t="shared" si="7"/>
        <v>0</v>
      </c>
      <c r="T21" s="436">
        <f t="shared" si="7"/>
        <v>469532</v>
      </c>
      <c r="U21" s="436">
        <f t="shared" si="7"/>
        <v>204200</v>
      </c>
      <c r="V21" s="436">
        <f>V22+V23+V27</f>
        <v>487000</v>
      </c>
      <c r="W21" s="436">
        <f>W22+W23+W27</f>
        <v>320000</v>
      </c>
      <c r="X21" s="437"/>
      <c r="AD21" s="339"/>
      <c r="AE21" s="119"/>
    </row>
    <row r="22" spans="1:31" s="10" customFormat="1" ht="39.75" customHeight="1">
      <c r="A22" s="332" t="s">
        <v>39</v>
      </c>
      <c r="B22" s="326" t="s">
        <v>1254</v>
      </c>
      <c r="C22" s="625" t="s">
        <v>128</v>
      </c>
      <c r="D22" s="554"/>
      <c r="E22" s="332"/>
      <c r="F22" s="471"/>
      <c r="G22" s="471"/>
      <c r="H22" s="332"/>
      <c r="I22" s="471"/>
      <c r="J22" s="331"/>
      <c r="K22" s="331"/>
      <c r="L22" s="331"/>
      <c r="M22" s="331"/>
      <c r="N22" s="331"/>
      <c r="O22" s="331"/>
      <c r="P22" s="331"/>
      <c r="Q22" s="331"/>
      <c r="R22" s="331"/>
      <c r="S22" s="331"/>
      <c r="T22" s="331"/>
      <c r="U22" s="331"/>
      <c r="V22" s="331"/>
      <c r="W22" s="331"/>
      <c r="X22" s="332"/>
      <c r="AD22" s="339"/>
      <c r="AE22" s="119"/>
    </row>
    <row r="23" spans="1:31" s="10" customFormat="1" ht="48.75" customHeight="1">
      <c r="A23" s="397" t="s">
        <v>467</v>
      </c>
      <c r="B23" s="400" t="s">
        <v>56</v>
      </c>
      <c r="C23" s="625" t="s">
        <v>128</v>
      </c>
      <c r="D23" s="400"/>
      <c r="E23" s="400"/>
      <c r="F23" s="436"/>
      <c r="G23" s="436"/>
      <c r="H23" s="436"/>
      <c r="I23" s="437"/>
      <c r="J23" s="436">
        <f t="shared" ref="J23:U23" si="8">SUM(J24:J26)</f>
        <v>1381840</v>
      </c>
      <c r="K23" s="436">
        <f t="shared" si="8"/>
        <v>0</v>
      </c>
      <c r="L23" s="436">
        <f t="shared" si="8"/>
        <v>987678</v>
      </c>
      <c r="M23" s="436">
        <f t="shared" si="8"/>
        <v>394162</v>
      </c>
      <c r="N23" s="436">
        <f t="shared" si="8"/>
        <v>673732</v>
      </c>
      <c r="O23" s="436">
        <f t="shared" si="8"/>
        <v>0</v>
      </c>
      <c r="P23" s="436">
        <f t="shared" si="8"/>
        <v>469532</v>
      </c>
      <c r="Q23" s="436">
        <f t="shared" si="8"/>
        <v>204200</v>
      </c>
      <c r="R23" s="436">
        <f t="shared" si="8"/>
        <v>673732</v>
      </c>
      <c r="S23" s="436">
        <f t="shared" si="8"/>
        <v>0</v>
      </c>
      <c r="T23" s="436">
        <f t="shared" si="8"/>
        <v>469532</v>
      </c>
      <c r="U23" s="436">
        <f t="shared" si="8"/>
        <v>204200</v>
      </c>
      <c r="V23" s="436">
        <f>SUM(V24:V26)</f>
        <v>487000</v>
      </c>
      <c r="W23" s="436">
        <f>SUM(W24:W26)</f>
        <v>320000</v>
      </c>
      <c r="X23" s="437"/>
      <c r="AD23" s="339"/>
      <c r="AE23" s="119"/>
    </row>
    <row r="24" spans="1:31" s="8" customFormat="1" ht="105">
      <c r="A24" s="621" t="s">
        <v>144</v>
      </c>
      <c r="B24" s="25" t="s">
        <v>275</v>
      </c>
      <c r="C24" s="625" t="s">
        <v>128</v>
      </c>
      <c r="D24" s="316" t="s">
        <v>276</v>
      </c>
      <c r="E24" s="25"/>
      <c r="F24" s="433" t="s">
        <v>131</v>
      </c>
      <c r="G24" s="403" t="s">
        <v>176</v>
      </c>
      <c r="H24" s="404" t="s">
        <v>41</v>
      </c>
      <c r="I24" s="433" t="s">
        <v>132</v>
      </c>
      <c r="J24" s="12">
        <f>K24+L24+M24</f>
        <v>874082</v>
      </c>
      <c r="K24" s="12"/>
      <c r="L24" s="12">
        <v>519920</v>
      </c>
      <c r="M24" s="12">
        <f>874082-L24</f>
        <v>354162</v>
      </c>
      <c r="N24" s="12">
        <f>O24+P24+Q24</f>
        <v>473159</v>
      </c>
      <c r="O24" s="12"/>
      <c r="P24" s="12">
        <v>273159</v>
      </c>
      <c r="Q24" s="12">
        <v>200000</v>
      </c>
      <c r="R24" s="12">
        <f>S24+T24+U24</f>
        <v>473159</v>
      </c>
      <c r="S24" s="12"/>
      <c r="T24" s="12">
        <v>273159</v>
      </c>
      <c r="U24" s="12">
        <v>200000</v>
      </c>
      <c r="V24" s="407">
        <v>300000</v>
      </c>
      <c r="W24" s="12">
        <v>170000</v>
      </c>
      <c r="X24" s="91" t="s">
        <v>1639</v>
      </c>
      <c r="AD24" s="338"/>
      <c r="AE24" s="119"/>
    </row>
    <row r="25" spans="1:31" s="8" customFormat="1" ht="60">
      <c r="A25" s="621" t="s">
        <v>144</v>
      </c>
      <c r="B25" s="25" t="s">
        <v>129</v>
      </c>
      <c r="C25" s="625" t="s">
        <v>128</v>
      </c>
      <c r="D25" s="313">
        <v>7993768</v>
      </c>
      <c r="E25" s="25"/>
      <c r="F25" s="433" t="s">
        <v>133</v>
      </c>
      <c r="G25" s="403" t="s">
        <v>147</v>
      </c>
      <c r="H25" s="433" t="s">
        <v>53</v>
      </c>
      <c r="I25" s="433" t="s">
        <v>134</v>
      </c>
      <c r="J25" s="12">
        <f>K25+L25+M25</f>
        <v>249759</v>
      </c>
      <c r="K25" s="12"/>
      <c r="L25" s="12">
        <f>249759-40000</f>
        <v>209759</v>
      </c>
      <c r="M25" s="12">
        <v>40000</v>
      </c>
      <c r="N25" s="12">
        <f>+O25+P25+Q25</f>
        <v>4200</v>
      </c>
      <c r="O25" s="12"/>
      <c r="P25" s="12">
        <v>0</v>
      </c>
      <c r="Q25" s="12">
        <v>4200</v>
      </c>
      <c r="R25" s="12">
        <f>+S25+T25+U25</f>
        <v>4200</v>
      </c>
      <c r="S25" s="12"/>
      <c r="T25" s="12">
        <v>0</v>
      </c>
      <c r="U25" s="12">
        <v>4200</v>
      </c>
      <c r="V25" s="92">
        <f>97000+30000</f>
        <v>127000</v>
      </c>
      <c r="W25" s="12">
        <v>90000</v>
      </c>
      <c r="X25" s="91" t="s">
        <v>1639</v>
      </c>
      <c r="AD25" s="338"/>
      <c r="AE25" s="119"/>
    </row>
    <row r="26" spans="1:31" s="8" customFormat="1" ht="61.5" customHeight="1">
      <c r="A26" s="621" t="s">
        <v>144</v>
      </c>
      <c r="B26" s="25" t="s">
        <v>130</v>
      </c>
      <c r="C26" s="625" t="s">
        <v>128</v>
      </c>
      <c r="D26" s="25"/>
      <c r="E26" s="25"/>
      <c r="F26" s="433" t="s">
        <v>135</v>
      </c>
      <c r="G26" s="403"/>
      <c r="H26" s="433" t="s">
        <v>136</v>
      </c>
      <c r="I26" s="433" t="s">
        <v>137</v>
      </c>
      <c r="J26" s="12">
        <f>K26+L26+M26</f>
        <v>257999</v>
      </c>
      <c r="K26" s="12"/>
      <c r="L26" s="12">
        <v>257999</v>
      </c>
      <c r="M26" s="12"/>
      <c r="N26" s="12">
        <f>O26+P26+Q26</f>
        <v>196373</v>
      </c>
      <c r="O26" s="12"/>
      <c r="P26" s="12">
        <v>196373</v>
      </c>
      <c r="Q26" s="12"/>
      <c r="R26" s="12">
        <f>S26+T26+U26</f>
        <v>196373</v>
      </c>
      <c r="S26" s="12"/>
      <c r="T26" s="12">
        <v>196373</v>
      </c>
      <c r="U26" s="12"/>
      <c r="V26" s="12">
        <v>60000</v>
      </c>
      <c r="W26" s="12">
        <v>60000</v>
      </c>
      <c r="X26" s="91" t="s">
        <v>1639</v>
      </c>
      <c r="AD26" s="338"/>
      <c r="AE26" s="119"/>
    </row>
    <row r="27" spans="1:31" s="417" customFormat="1" ht="28.5" customHeight="1">
      <c r="A27" s="327" t="s">
        <v>1306</v>
      </c>
      <c r="B27" s="413" t="s">
        <v>1307</v>
      </c>
      <c r="C27" s="625" t="s">
        <v>128</v>
      </c>
      <c r="D27" s="494"/>
      <c r="E27" s="494"/>
      <c r="F27" s="494"/>
      <c r="G27" s="494"/>
      <c r="H27" s="494"/>
      <c r="I27" s="327"/>
      <c r="J27" s="331"/>
      <c r="K27" s="331"/>
      <c r="L27" s="331"/>
      <c r="M27" s="331"/>
      <c r="N27" s="331"/>
      <c r="O27" s="331"/>
      <c r="P27" s="331"/>
      <c r="Q27" s="331"/>
      <c r="R27" s="331"/>
      <c r="S27" s="331"/>
      <c r="T27" s="331"/>
      <c r="U27" s="331"/>
      <c r="V27" s="331"/>
      <c r="W27" s="331"/>
      <c r="X27" s="332"/>
      <c r="AD27" s="339"/>
      <c r="AE27" s="119"/>
    </row>
    <row r="28" spans="1:31" s="8" customFormat="1" ht="30.75" customHeight="1">
      <c r="A28" s="474">
        <v>3</v>
      </c>
      <c r="B28" s="317" t="s">
        <v>66</v>
      </c>
      <c r="C28" s="317" t="s">
        <v>66</v>
      </c>
      <c r="D28" s="317"/>
      <c r="E28" s="317"/>
      <c r="F28" s="320"/>
      <c r="G28" s="320"/>
      <c r="H28" s="320"/>
      <c r="I28" s="320"/>
      <c r="J28" s="14">
        <f t="shared" ref="J28:U28" si="9">J29</f>
        <v>981591</v>
      </c>
      <c r="K28" s="14">
        <f t="shared" si="9"/>
        <v>0</v>
      </c>
      <c r="L28" s="14">
        <f t="shared" si="9"/>
        <v>981591</v>
      </c>
      <c r="M28" s="14">
        <f t="shared" si="9"/>
        <v>0</v>
      </c>
      <c r="N28" s="14">
        <f t="shared" si="9"/>
        <v>475269</v>
      </c>
      <c r="O28" s="14">
        <f t="shared" si="9"/>
        <v>0</v>
      </c>
      <c r="P28" s="14">
        <f t="shared" si="9"/>
        <v>475269</v>
      </c>
      <c r="Q28" s="14">
        <f t="shared" si="9"/>
        <v>0</v>
      </c>
      <c r="R28" s="14">
        <f t="shared" si="9"/>
        <v>961591</v>
      </c>
      <c r="S28" s="14">
        <f t="shared" si="9"/>
        <v>0</v>
      </c>
      <c r="T28" s="14">
        <f t="shared" si="9"/>
        <v>961591</v>
      </c>
      <c r="U28" s="14">
        <f t="shared" si="9"/>
        <v>0</v>
      </c>
      <c r="V28" s="14">
        <f>V29</f>
        <v>506322</v>
      </c>
      <c r="W28" s="14">
        <f>W29</f>
        <v>20000</v>
      </c>
      <c r="X28" s="102"/>
      <c r="AD28" s="338"/>
      <c r="AE28" s="119"/>
    </row>
    <row r="29" spans="1:31" s="10" customFormat="1" ht="27.75" customHeight="1">
      <c r="A29" s="393" t="s">
        <v>1288</v>
      </c>
      <c r="B29" s="394" t="s">
        <v>38</v>
      </c>
      <c r="C29" s="15" t="s">
        <v>66</v>
      </c>
      <c r="D29" s="394"/>
      <c r="E29" s="394"/>
      <c r="F29" s="421"/>
      <c r="G29" s="421"/>
      <c r="H29" s="421"/>
      <c r="I29" s="421"/>
      <c r="J29" s="453">
        <f t="shared" ref="J29:U29" si="10">+J31+J30+J33</f>
        <v>981591</v>
      </c>
      <c r="K29" s="453">
        <f t="shared" si="10"/>
        <v>0</v>
      </c>
      <c r="L29" s="453">
        <f t="shared" si="10"/>
        <v>981591</v>
      </c>
      <c r="M29" s="453">
        <f t="shared" si="10"/>
        <v>0</v>
      </c>
      <c r="N29" s="453">
        <f t="shared" si="10"/>
        <v>475269</v>
      </c>
      <c r="O29" s="453">
        <f t="shared" si="10"/>
        <v>0</v>
      </c>
      <c r="P29" s="453">
        <f t="shared" si="10"/>
        <v>475269</v>
      </c>
      <c r="Q29" s="453">
        <f t="shared" si="10"/>
        <v>0</v>
      </c>
      <c r="R29" s="453">
        <f t="shared" si="10"/>
        <v>961591</v>
      </c>
      <c r="S29" s="453">
        <f t="shared" si="10"/>
        <v>0</v>
      </c>
      <c r="T29" s="453">
        <f t="shared" si="10"/>
        <v>961591</v>
      </c>
      <c r="U29" s="453">
        <f t="shared" si="10"/>
        <v>0</v>
      </c>
      <c r="V29" s="453">
        <f>V30+V31+V33</f>
        <v>506322</v>
      </c>
      <c r="W29" s="453">
        <f>W30+W31+W33</f>
        <v>20000</v>
      </c>
      <c r="X29" s="454"/>
      <c r="AD29" s="339"/>
      <c r="AE29" s="119"/>
    </row>
    <row r="30" spans="1:31" s="10" customFormat="1" ht="39.75" customHeight="1">
      <c r="A30" s="332" t="s">
        <v>39</v>
      </c>
      <c r="B30" s="326" t="s">
        <v>1254</v>
      </c>
      <c r="C30" s="15" t="s">
        <v>66</v>
      </c>
      <c r="D30" s="554"/>
      <c r="E30" s="332"/>
      <c r="F30" s="471"/>
      <c r="G30" s="471"/>
      <c r="H30" s="332"/>
      <c r="I30" s="471"/>
      <c r="J30" s="331"/>
      <c r="K30" s="331"/>
      <c r="L30" s="331"/>
      <c r="M30" s="331"/>
      <c r="N30" s="331"/>
      <c r="O30" s="331"/>
      <c r="P30" s="331"/>
      <c r="Q30" s="331"/>
      <c r="R30" s="331"/>
      <c r="S30" s="331"/>
      <c r="T30" s="331"/>
      <c r="U30" s="331"/>
      <c r="V30" s="331"/>
      <c r="W30" s="331"/>
      <c r="X30" s="332"/>
      <c r="AD30" s="339"/>
      <c r="AE30" s="119"/>
    </row>
    <row r="31" spans="1:31" s="10" customFormat="1" ht="50.25" customHeight="1">
      <c r="A31" s="397" t="s">
        <v>467</v>
      </c>
      <c r="B31" s="400" t="s">
        <v>56</v>
      </c>
      <c r="C31" s="15" t="s">
        <v>66</v>
      </c>
      <c r="D31" s="400"/>
      <c r="E31" s="400"/>
      <c r="F31" s="328"/>
      <c r="G31" s="328"/>
      <c r="H31" s="328"/>
      <c r="I31" s="328"/>
      <c r="J31" s="436">
        <f t="shared" ref="J31:U31" si="11">+SUM(J32:J32)</f>
        <v>981591</v>
      </c>
      <c r="K31" s="436">
        <f t="shared" si="11"/>
        <v>0</v>
      </c>
      <c r="L31" s="436">
        <f t="shared" si="11"/>
        <v>981591</v>
      </c>
      <c r="M31" s="436">
        <f t="shared" si="11"/>
        <v>0</v>
      </c>
      <c r="N31" s="436">
        <f t="shared" si="11"/>
        <v>475269</v>
      </c>
      <c r="O31" s="436">
        <f t="shared" si="11"/>
        <v>0</v>
      </c>
      <c r="P31" s="436">
        <f t="shared" si="11"/>
        <v>475269</v>
      </c>
      <c r="Q31" s="436">
        <f t="shared" si="11"/>
        <v>0</v>
      </c>
      <c r="R31" s="436">
        <f t="shared" si="11"/>
        <v>961591</v>
      </c>
      <c r="S31" s="436">
        <f t="shared" si="11"/>
        <v>0</v>
      </c>
      <c r="T31" s="436">
        <f t="shared" si="11"/>
        <v>961591</v>
      </c>
      <c r="U31" s="436">
        <f t="shared" si="11"/>
        <v>0</v>
      </c>
      <c r="V31" s="436">
        <f>V32</f>
        <v>506322</v>
      </c>
      <c r="W31" s="436">
        <f>W32</f>
        <v>20000</v>
      </c>
      <c r="X31" s="437"/>
      <c r="AD31" s="339"/>
      <c r="AE31" s="119"/>
    </row>
    <row r="32" spans="1:31" s="8" customFormat="1" ht="135">
      <c r="A32" s="627" t="s">
        <v>144</v>
      </c>
      <c r="B32" s="42" t="s">
        <v>119</v>
      </c>
      <c r="C32" s="15" t="s">
        <v>66</v>
      </c>
      <c r="D32" s="42"/>
      <c r="E32" s="42"/>
      <c r="F32" s="37" t="s">
        <v>120</v>
      </c>
      <c r="G32" s="316" t="s">
        <v>121</v>
      </c>
      <c r="H32" s="13" t="s">
        <v>122</v>
      </c>
      <c r="I32" s="13" t="s">
        <v>123</v>
      </c>
      <c r="J32" s="38">
        <v>981591</v>
      </c>
      <c r="K32" s="38"/>
      <c r="L32" s="12">
        <v>981591</v>
      </c>
      <c r="M32" s="14"/>
      <c r="N32" s="12">
        <f>O32+P32+Q32</f>
        <v>475269</v>
      </c>
      <c r="O32" s="14"/>
      <c r="P32" s="12">
        <v>475269</v>
      </c>
      <c r="Q32" s="14"/>
      <c r="R32" s="12">
        <f>S32+T32+U32</f>
        <v>961591</v>
      </c>
      <c r="S32" s="14"/>
      <c r="T32" s="12">
        <f>781591+200000-20000</f>
        <v>961591</v>
      </c>
      <c r="U32" s="14"/>
      <c r="V32" s="12">
        <v>506322</v>
      </c>
      <c r="W32" s="12">
        <v>20000</v>
      </c>
      <c r="X32" s="91" t="s">
        <v>1639</v>
      </c>
      <c r="AD32" s="338"/>
      <c r="AE32" s="119"/>
    </row>
    <row r="33" spans="1:31" s="417" customFormat="1" ht="28.5" customHeight="1">
      <c r="A33" s="327" t="s">
        <v>1306</v>
      </c>
      <c r="B33" s="413" t="s">
        <v>1307</v>
      </c>
      <c r="C33" s="15" t="s">
        <v>66</v>
      </c>
      <c r="D33" s="494"/>
      <c r="E33" s="494"/>
      <c r="F33" s="494"/>
      <c r="G33" s="494"/>
      <c r="H33" s="494"/>
      <c r="I33" s="327"/>
      <c r="J33" s="331"/>
      <c r="K33" s="331"/>
      <c r="L33" s="331"/>
      <c r="M33" s="331"/>
      <c r="N33" s="331"/>
      <c r="O33" s="331"/>
      <c r="P33" s="331"/>
      <c r="Q33" s="331"/>
      <c r="R33" s="331"/>
      <c r="S33" s="331"/>
      <c r="T33" s="331"/>
      <c r="U33" s="331"/>
      <c r="V33" s="331"/>
      <c r="W33" s="331"/>
      <c r="X33" s="332"/>
      <c r="AD33" s="339"/>
      <c r="AE33" s="119"/>
    </row>
    <row r="34" spans="1:31" s="8" customFormat="1" ht="42.75">
      <c r="A34" s="474">
        <v>4</v>
      </c>
      <c r="B34" s="317" t="s">
        <v>80</v>
      </c>
      <c r="C34" s="317" t="s">
        <v>80</v>
      </c>
      <c r="D34" s="317"/>
      <c r="E34" s="317"/>
      <c r="F34" s="37"/>
      <c r="G34" s="320"/>
      <c r="H34" s="320"/>
      <c r="I34" s="320"/>
      <c r="J34" s="14">
        <f t="shared" ref="J34:U34" si="12">J35</f>
        <v>494105</v>
      </c>
      <c r="K34" s="14">
        <f t="shared" si="12"/>
        <v>0</v>
      </c>
      <c r="L34" s="14">
        <f t="shared" si="12"/>
        <v>494105</v>
      </c>
      <c r="M34" s="14">
        <f t="shared" si="12"/>
        <v>0</v>
      </c>
      <c r="N34" s="14">
        <f t="shared" si="12"/>
        <v>342141</v>
      </c>
      <c r="O34" s="14">
        <f t="shared" si="12"/>
        <v>0</v>
      </c>
      <c r="P34" s="14">
        <f t="shared" si="12"/>
        <v>342141</v>
      </c>
      <c r="Q34" s="14">
        <f t="shared" si="12"/>
        <v>0</v>
      </c>
      <c r="R34" s="14">
        <f t="shared" si="12"/>
        <v>464105</v>
      </c>
      <c r="S34" s="14">
        <f t="shared" si="12"/>
        <v>0</v>
      </c>
      <c r="T34" s="14">
        <f t="shared" si="12"/>
        <v>464105</v>
      </c>
      <c r="U34" s="14">
        <f t="shared" si="12"/>
        <v>0</v>
      </c>
      <c r="V34" s="14">
        <f>V35</f>
        <v>156153</v>
      </c>
      <c r="W34" s="14">
        <f>W35</f>
        <v>2000</v>
      </c>
      <c r="X34" s="102"/>
      <c r="AD34" s="338"/>
      <c r="AE34" s="119"/>
    </row>
    <row r="35" spans="1:31" s="10" customFormat="1" ht="23.25" customHeight="1">
      <c r="A35" s="393" t="s">
        <v>1290</v>
      </c>
      <c r="B35" s="394" t="s">
        <v>38</v>
      </c>
      <c r="C35" s="15" t="s">
        <v>80</v>
      </c>
      <c r="D35" s="394"/>
      <c r="E35" s="394"/>
      <c r="F35" s="421"/>
      <c r="G35" s="421"/>
      <c r="H35" s="421"/>
      <c r="I35" s="421"/>
      <c r="J35" s="453">
        <f t="shared" ref="J35:U35" si="13">J37+J36+J39</f>
        <v>494105</v>
      </c>
      <c r="K35" s="453">
        <f t="shared" si="13"/>
        <v>0</v>
      </c>
      <c r="L35" s="453">
        <f t="shared" si="13"/>
        <v>494105</v>
      </c>
      <c r="M35" s="453">
        <f t="shared" si="13"/>
        <v>0</v>
      </c>
      <c r="N35" s="453">
        <f t="shared" si="13"/>
        <v>342141</v>
      </c>
      <c r="O35" s="453">
        <f t="shared" si="13"/>
        <v>0</v>
      </c>
      <c r="P35" s="453">
        <f t="shared" si="13"/>
        <v>342141</v>
      </c>
      <c r="Q35" s="453">
        <f t="shared" si="13"/>
        <v>0</v>
      </c>
      <c r="R35" s="453">
        <f t="shared" si="13"/>
        <v>464105</v>
      </c>
      <c r="S35" s="453">
        <f t="shared" si="13"/>
        <v>0</v>
      </c>
      <c r="T35" s="453">
        <f t="shared" si="13"/>
        <v>464105</v>
      </c>
      <c r="U35" s="453">
        <f t="shared" si="13"/>
        <v>0</v>
      </c>
      <c r="V35" s="453">
        <f>V36+V37+V39</f>
        <v>156153</v>
      </c>
      <c r="W35" s="453">
        <f>W36+W37+W39</f>
        <v>2000</v>
      </c>
      <c r="X35" s="454"/>
      <c r="AD35" s="339"/>
      <c r="AE35" s="119"/>
    </row>
    <row r="36" spans="1:31" s="10" customFormat="1" ht="39.75" customHeight="1">
      <c r="A36" s="332" t="s">
        <v>39</v>
      </c>
      <c r="B36" s="326" t="s">
        <v>1254</v>
      </c>
      <c r="C36" s="15" t="s">
        <v>80</v>
      </c>
      <c r="D36" s="554"/>
      <c r="E36" s="332"/>
      <c r="F36" s="471"/>
      <c r="G36" s="471"/>
      <c r="H36" s="332"/>
      <c r="I36" s="471"/>
      <c r="J36" s="331"/>
      <c r="K36" s="331"/>
      <c r="L36" s="331"/>
      <c r="M36" s="331"/>
      <c r="N36" s="331"/>
      <c r="O36" s="331"/>
      <c r="P36" s="331"/>
      <c r="Q36" s="331"/>
      <c r="R36" s="331"/>
      <c r="S36" s="331"/>
      <c r="T36" s="331"/>
      <c r="U36" s="331"/>
      <c r="V36" s="331"/>
      <c r="W36" s="331"/>
      <c r="X36" s="332"/>
      <c r="AD36" s="339"/>
      <c r="AE36" s="119"/>
    </row>
    <row r="37" spans="1:31" s="10" customFormat="1" ht="45">
      <c r="A37" s="397" t="s">
        <v>467</v>
      </c>
      <c r="B37" s="400" t="s">
        <v>56</v>
      </c>
      <c r="C37" s="15" t="s">
        <v>80</v>
      </c>
      <c r="D37" s="400"/>
      <c r="E37" s="400"/>
      <c r="F37" s="614"/>
      <c r="G37" s="328"/>
      <c r="H37" s="328"/>
      <c r="I37" s="328"/>
      <c r="J37" s="436">
        <f>+J38</f>
        <v>494105</v>
      </c>
      <c r="K37" s="436">
        <f t="shared" ref="K37:U37" si="14">+K38</f>
        <v>0</v>
      </c>
      <c r="L37" s="436">
        <f t="shared" si="14"/>
        <v>494105</v>
      </c>
      <c r="M37" s="436">
        <f t="shared" si="14"/>
        <v>0</v>
      </c>
      <c r="N37" s="436">
        <f t="shared" si="14"/>
        <v>342141</v>
      </c>
      <c r="O37" s="436">
        <f t="shared" si="14"/>
        <v>0</v>
      </c>
      <c r="P37" s="436">
        <f t="shared" si="14"/>
        <v>342141</v>
      </c>
      <c r="Q37" s="436">
        <f t="shared" si="14"/>
        <v>0</v>
      </c>
      <c r="R37" s="436">
        <f t="shared" si="14"/>
        <v>464105</v>
      </c>
      <c r="S37" s="436">
        <f t="shared" si="14"/>
        <v>0</v>
      </c>
      <c r="T37" s="436">
        <f t="shared" si="14"/>
        <v>464105</v>
      </c>
      <c r="U37" s="436">
        <f t="shared" si="14"/>
        <v>0</v>
      </c>
      <c r="V37" s="436">
        <f>V38</f>
        <v>156153</v>
      </c>
      <c r="W37" s="436">
        <f>W38</f>
        <v>2000</v>
      </c>
      <c r="X37" s="437"/>
      <c r="AD37" s="339"/>
      <c r="AE37" s="119"/>
    </row>
    <row r="38" spans="1:31" s="8" customFormat="1" ht="135">
      <c r="A38" s="430" t="s">
        <v>144</v>
      </c>
      <c r="B38" s="42" t="s">
        <v>114</v>
      </c>
      <c r="C38" s="15" t="s">
        <v>80</v>
      </c>
      <c r="D38" s="42"/>
      <c r="E38" s="42"/>
      <c r="F38" s="37" t="s">
        <v>115</v>
      </c>
      <c r="G38" s="316" t="s">
        <v>116</v>
      </c>
      <c r="H38" s="13" t="s">
        <v>117</v>
      </c>
      <c r="I38" s="13" t="s">
        <v>118</v>
      </c>
      <c r="J38" s="38">
        <v>494105</v>
      </c>
      <c r="K38" s="38"/>
      <c r="L38" s="12">
        <v>494105</v>
      </c>
      <c r="M38" s="16"/>
      <c r="N38" s="12">
        <f>O38+P38+Q38</f>
        <v>342141</v>
      </c>
      <c r="O38" s="12"/>
      <c r="P38" s="12">
        <v>342141</v>
      </c>
      <c r="Q38" s="12"/>
      <c r="R38" s="12">
        <f>S38+T38+U38</f>
        <v>464105</v>
      </c>
      <c r="S38" s="12"/>
      <c r="T38" s="12">
        <v>464105</v>
      </c>
      <c r="U38" s="12"/>
      <c r="V38" s="12">
        <v>156153</v>
      </c>
      <c r="W38" s="796">
        <f>30000-28000</f>
        <v>2000</v>
      </c>
      <c r="X38" s="91" t="s">
        <v>1639</v>
      </c>
      <c r="AD38" s="338"/>
      <c r="AE38" s="119"/>
    </row>
    <row r="39" spans="1:31" s="417" customFormat="1" ht="28.5" customHeight="1">
      <c r="A39" s="327" t="s">
        <v>1306</v>
      </c>
      <c r="B39" s="413" t="s">
        <v>1307</v>
      </c>
      <c r="C39" s="15" t="s">
        <v>80</v>
      </c>
      <c r="D39" s="494"/>
      <c r="E39" s="494"/>
      <c r="F39" s="494"/>
      <c r="G39" s="494"/>
      <c r="H39" s="494"/>
      <c r="I39" s="327"/>
      <c r="J39" s="331"/>
      <c r="K39" s="331"/>
      <c r="L39" s="331"/>
      <c r="M39" s="331"/>
      <c r="N39" s="331"/>
      <c r="O39" s="331"/>
      <c r="P39" s="331"/>
      <c r="Q39" s="331"/>
      <c r="R39" s="331"/>
      <c r="S39" s="331"/>
      <c r="T39" s="331"/>
      <c r="U39" s="331"/>
      <c r="V39" s="331"/>
      <c r="W39" s="331"/>
      <c r="X39" s="332"/>
      <c r="AD39" s="339"/>
      <c r="AE39" s="119"/>
    </row>
    <row r="40" spans="1:31" s="8" customFormat="1" ht="21.75" customHeight="1">
      <c r="A40" s="627" t="s">
        <v>1659</v>
      </c>
      <c r="B40" s="317" t="s">
        <v>51</v>
      </c>
      <c r="C40" s="320"/>
      <c r="D40" s="317"/>
      <c r="E40" s="317"/>
      <c r="F40" s="320"/>
      <c r="G40" s="320"/>
      <c r="H40" s="320"/>
      <c r="I40" s="320"/>
      <c r="J40" s="14">
        <f>+J41+J48+J55+J64+J70+J76+J83</f>
        <v>22191077</v>
      </c>
      <c r="K40" s="14">
        <f t="shared" ref="K40:W40" si="15">+K41+K48+K55+K64+K70+K76+K83</f>
        <v>0</v>
      </c>
      <c r="L40" s="14">
        <f t="shared" si="15"/>
        <v>5583133</v>
      </c>
      <c r="M40" s="14">
        <f t="shared" si="15"/>
        <v>5105944</v>
      </c>
      <c r="N40" s="14">
        <f t="shared" si="15"/>
        <v>2185463</v>
      </c>
      <c r="O40" s="14">
        <f t="shared" si="15"/>
        <v>0</v>
      </c>
      <c r="P40" s="14">
        <f t="shared" si="15"/>
        <v>2121697</v>
      </c>
      <c r="Q40" s="14">
        <f t="shared" si="15"/>
        <v>63766</v>
      </c>
      <c r="R40" s="14">
        <f t="shared" si="15"/>
        <v>3849082</v>
      </c>
      <c r="S40" s="14">
        <f t="shared" si="15"/>
        <v>0</v>
      </c>
      <c r="T40" s="14">
        <f t="shared" si="15"/>
        <v>3087420</v>
      </c>
      <c r="U40" s="14">
        <f t="shared" si="15"/>
        <v>761662</v>
      </c>
      <c r="V40" s="14">
        <f t="shared" si="15"/>
        <v>4998892</v>
      </c>
      <c r="W40" s="14">
        <f t="shared" si="15"/>
        <v>1345517</v>
      </c>
      <c r="X40" s="102"/>
      <c r="AD40" s="338"/>
      <c r="AE40" s="119"/>
    </row>
    <row r="41" spans="1:31" s="8" customFormat="1" ht="32.25" customHeight="1">
      <c r="A41" s="474">
        <v>1</v>
      </c>
      <c r="B41" s="317" t="s">
        <v>66</v>
      </c>
      <c r="C41" s="317" t="s">
        <v>66</v>
      </c>
      <c r="D41" s="317"/>
      <c r="E41" s="317"/>
      <c r="F41" s="37"/>
      <c r="G41" s="320"/>
      <c r="H41" s="320"/>
      <c r="I41" s="320"/>
      <c r="J41" s="14">
        <f t="shared" ref="J41:U41" si="16">J42</f>
        <v>700000</v>
      </c>
      <c r="K41" s="14">
        <f t="shared" si="16"/>
        <v>0</v>
      </c>
      <c r="L41" s="14">
        <f t="shared" si="16"/>
        <v>700000</v>
      </c>
      <c r="M41" s="14">
        <f t="shared" si="16"/>
        <v>0</v>
      </c>
      <c r="N41" s="14">
        <f t="shared" si="16"/>
        <v>505653</v>
      </c>
      <c r="O41" s="14">
        <f t="shared" si="16"/>
        <v>0</v>
      </c>
      <c r="P41" s="14">
        <f t="shared" si="16"/>
        <v>505653</v>
      </c>
      <c r="Q41" s="14">
        <f t="shared" si="16"/>
        <v>0</v>
      </c>
      <c r="R41" s="14">
        <f t="shared" si="16"/>
        <v>574055</v>
      </c>
      <c r="S41" s="14">
        <f t="shared" si="16"/>
        <v>0</v>
      </c>
      <c r="T41" s="14">
        <f t="shared" si="16"/>
        <v>574055</v>
      </c>
      <c r="U41" s="14">
        <f t="shared" si="16"/>
        <v>0</v>
      </c>
      <c r="V41" s="14">
        <f>V42</f>
        <v>299084</v>
      </c>
      <c r="W41" s="14">
        <f>W42</f>
        <v>75304</v>
      </c>
      <c r="X41" s="102"/>
      <c r="AD41" s="338"/>
      <c r="AE41" s="119"/>
    </row>
    <row r="42" spans="1:31" s="10" customFormat="1" ht="27" customHeight="1">
      <c r="A42" s="393" t="s">
        <v>1305</v>
      </c>
      <c r="B42" s="394" t="s">
        <v>38</v>
      </c>
      <c r="C42" s="15" t="s">
        <v>66</v>
      </c>
      <c r="D42" s="394"/>
      <c r="E42" s="394"/>
      <c r="F42" s="421"/>
      <c r="G42" s="421"/>
      <c r="H42" s="421"/>
      <c r="I42" s="421"/>
      <c r="J42" s="453">
        <f t="shared" ref="J42:U42" si="17">J44+J43+J47</f>
        <v>700000</v>
      </c>
      <c r="K42" s="453">
        <f t="shared" si="17"/>
        <v>0</v>
      </c>
      <c r="L42" s="453">
        <f t="shared" si="17"/>
        <v>700000</v>
      </c>
      <c r="M42" s="453">
        <f t="shared" si="17"/>
        <v>0</v>
      </c>
      <c r="N42" s="453">
        <f t="shared" si="17"/>
        <v>505653</v>
      </c>
      <c r="O42" s="453">
        <f t="shared" si="17"/>
        <v>0</v>
      </c>
      <c r="P42" s="453">
        <f t="shared" si="17"/>
        <v>505653</v>
      </c>
      <c r="Q42" s="453">
        <f t="shared" si="17"/>
        <v>0</v>
      </c>
      <c r="R42" s="453">
        <f t="shared" si="17"/>
        <v>574055</v>
      </c>
      <c r="S42" s="453">
        <f t="shared" si="17"/>
        <v>0</v>
      </c>
      <c r="T42" s="453">
        <f t="shared" si="17"/>
        <v>574055</v>
      </c>
      <c r="U42" s="453">
        <f t="shared" si="17"/>
        <v>0</v>
      </c>
      <c r="V42" s="453">
        <f>V43+V44+V47</f>
        <v>299084</v>
      </c>
      <c r="W42" s="453">
        <f>W43+W44+W47</f>
        <v>75304</v>
      </c>
      <c r="X42" s="454">
        <f>X44+X43+X47</f>
        <v>0</v>
      </c>
      <c r="AD42" s="339"/>
      <c r="AE42" s="119"/>
    </row>
    <row r="43" spans="1:31" s="10" customFormat="1" ht="39.75" customHeight="1">
      <c r="A43" s="332" t="s">
        <v>39</v>
      </c>
      <c r="B43" s="326" t="s">
        <v>1254</v>
      </c>
      <c r="C43" s="15" t="s">
        <v>66</v>
      </c>
      <c r="D43" s="554"/>
      <c r="E43" s="332"/>
      <c r="F43" s="471"/>
      <c r="G43" s="471"/>
      <c r="H43" s="332"/>
      <c r="I43" s="471"/>
      <c r="J43" s="331"/>
      <c r="K43" s="331"/>
      <c r="L43" s="331"/>
      <c r="M43" s="331"/>
      <c r="N43" s="331"/>
      <c r="O43" s="331"/>
      <c r="P43" s="331"/>
      <c r="Q43" s="331"/>
      <c r="R43" s="331"/>
      <c r="S43" s="331"/>
      <c r="T43" s="331"/>
      <c r="U43" s="331"/>
      <c r="V43" s="331"/>
      <c r="W43" s="331"/>
      <c r="X43" s="332"/>
      <c r="AD43" s="339"/>
      <c r="AE43" s="119"/>
    </row>
    <row r="44" spans="1:31" s="10" customFormat="1" ht="42.75" customHeight="1">
      <c r="A44" s="397" t="s">
        <v>467</v>
      </c>
      <c r="B44" s="477" t="s">
        <v>56</v>
      </c>
      <c r="C44" s="15" t="s">
        <v>66</v>
      </c>
      <c r="D44" s="477"/>
      <c r="E44" s="477"/>
      <c r="F44" s="614"/>
      <c r="G44" s="328"/>
      <c r="H44" s="328"/>
      <c r="I44" s="328"/>
      <c r="J44" s="436">
        <f t="shared" ref="J44:U44" si="18">SUM(J45:J46)</f>
        <v>700000</v>
      </c>
      <c r="K44" s="436">
        <f t="shared" si="18"/>
        <v>0</v>
      </c>
      <c r="L44" s="436">
        <f t="shared" si="18"/>
        <v>700000</v>
      </c>
      <c r="M44" s="436">
        <f t="shared" si="18"/>
        <v>0</v>
      </c>
      <c r="N44" s="436">
        <f t="shared" si="18"/>
        <v>505653</v>
      </c>
      <c r="O44" s="436">
        <f t="shared" si="18"/>
        <v>0</v>
      </c>
      <c r="P44" s="436">
        <f t="shared" si="18"/>
        <v>505653</v>
      </c>
      <c r="Q44" s="436">
        <f t="shared" si="18"/>
        <v>0</v>
      </c>
      <c r="R44" s="436">
        <f t="shared" si="18"/>
        <v>574055</v>
      </c>
      <c r="S44" s="436">
        <f t="shared" si="18"/>
        <v>0</v>
      </c>
      <c r="T44" s="436">
        <f t="shared" si="18"/>
        <v>574055</v>
      </c>
      <c r="U44" s="436">
        <f t="shared" si="18"/>
        <v>0</v>
      </c>
      <c r="V44" s="436">
        <f>SUM(V45:V46)</f>
        <v>299084</v>
      </c>
      <c r="W44" s="436">
        <f>SUM(W45:W46)</f>
        <v>75304</v>
      </c>
      <c r="X44" s="437"/>
      <c r="AD44" s="339"/>
      <c r="AE44" s="119"/>
    </row>
    <row r="45" spans="1:31" s="8" customFormat="1" ht="88.5" customHeight="1">
      <c r="A45" s="627" t="s">
        <v>144</v>
      </c>
      <c r="B45" s="106" t="s">
        <v>71</v>
      </c>
      <c r="C45" s="15" t="s">
        <v>66</v>
      </c>
      <c r="D45" s="106"/>
      <c r="E45" s="106"/>
      <c r="F45" s="37" t="s">
        <v>72</v>
      </c>
      <c r="G45" s="37" t="s">
        <v>74</v>
      </c>
      <c r="H45" s="13" t="s">
        <v>73</v>
      </c>
      <c r="I45" s="37" t="s">
        <v>75</v>
      </c>
      <c r="J45" s="12">
        <f>K45+L45+M45</f>
        <v>400000</v>
      </c>
      <c r="K45" s="12"/>
      <c r="L45" s="12">
        <v>400000</v>
      </c>
      <c r="M45" s="12"/>
      <c r="N45" s="12">
        <f>O45+P45+Q45</f>
        <v>269697</v>
      </c>
      <c r="O45" s="12"/>
      <c r="P45" s="12">
        <v>269697</v>
      </c>
      <c r="Q45" s="12"/>
      <c r="R45" s="12">
        <f>S45+T45+U45</f>
        <v>325000</v>
      </c>
      <c r="S45" s="12"/>
      <c r="T45" s="12">
        <v>325000</v>
      </c>
      <c r="U45" s="12"/>
      <c r="V45" s="12">
        <v>195040</v>
      </c>
      <c r="W45" s="12">
        <v>55304</v>
      </c>
      <c r="X45" s="91" t="s">
        <v>1622</v>
      </c>
      <c r="Z45" s="12">
        <v>125304</v>
      </c>
      <c r="AD45" s="338"/>
      <c r="AE45" s="119"/>
    </row>
    <row r="46" spans="1:31" s="8" customFormat="1" ht="134.25" customHeight="1">
      <c r="A46" s="627" t="s">
        <v>144</v>
      </c>
      <c r="B46" s="106" t="s">
        <v>76</v>
      </c>
      <c r="C46" s="15" t="s">
        <v>66</v>
      </c>
      <c r="D46" s="106"/>
      <c r="E46" s="106"/>
      <c r="F46" s="37" t="s">
        <v>77</v>
      </c>
      <c r="G46" s="37" t="s">
        <v>78</v>
      </c>
      <c r="H46" s="13" t="s">
        <v>73</v>
      </c>
      <c r="I46" s="37" t="s">
        <v>79</v>
      </c>
      <c r="J46" s="12">
        <f>K46+L46+M46</f>
        <v>300000</v>
      </c>
      <c r="K46" s="12"/>
      <c r="L46" s="12">
        <v>300000</v>
      </c>
      <c r="M46" s="12"/>
      <c r="N46" s="12">
        <f>O46+P46+Q46</f>
        <v>235956</v>
      </c>
      <c r="O46" s="12"/>
      <c r="P46" s="12">
        <v>235956</v>
      </c>
      <c r="Q46" s="12"/>
      <c r="R46" s="12">
        <f>S46+T46+U46</f>
        <v>249055</v>
      </c>
      <c r="S46" s="12"/>
      <c r="T46" s="12">
        <v>249055</v>
      </c>
      <c r="U46" s="12"/>
      <c r="V46" s="12">
        <v>104044</v>
      </c>
      <c r="W46" s="12">
        <v>20000</v>
      </c>
      <c r="X46" s="91" t="s">
        <v>1622</v>
      </c>
      <c r="AD46" s="338"/>
      <c r="AE46" s="119"/>
    </row>
    <row r="47" spans="1:31" s="10" customFormat="1" ht="40.5" customHeight="1">
      <c r="A47" s="398" t="s">
        <v>1306</v>
      </c>
      <c r="B47" s="413" t="s">
        <v>1307</v>
      </c>
      <c r="C47" s="15" t="s">
        <v>66</v>
      </c>
      <c r="D47" s="328"/>
      <c r="E47" s="328"/>
      <c r="F47" s="614"/>
      <c r="G47" s="448"/>
      <c r="H47" s="328"/>
      <c r="I47" s="328"/>
      <c r="J47" s="637"/>
      <c r="K47" s="637"/>
      <c r="L47" s="637"/>
      <c r="M47" s="637"/>
      <c r="N47" s="637"/>
      <c r="O47" s="637"/>
      <c r="P47" s="637"/>
      <c r="Q47" s="637"/>
      <c r="R47" s="637"/>
      <c r="S47" s="637"/>
      <c r="T47" s="637"/>
      <c r="U47" s="637"/>
      <c r="V47" s="637"/>
      <c r="W47" s="637"/>
      <c r="X47" s="638"/>
      <c r="AD47" s="339"/>
      <c r="AE47" s="119"/>
    </row>
    <row r="48" spans="1:31" s="8" customFormat="1" ht="30" customHeight="1">
      <c r="A48" s="474">
        <v>2</v>
      </c>
      <c r="B48" s="317" t="s">
        <v>55</v>
      </c>
      <c r="C48" s="317" t="s">
        <v>55</v>
      </c>
      <c r="D48" s="317"/>
      <c r="E48" s="317"/>
      <c r="F48" s="37"/>
      <c r="G48" s="320"/>
      <c r="H48" s="320"/>
      <c r="I48" s="320"/>
      <c r="J48" s="14">
        <f t="shared" ref="J48:U48" si="19">+J49</f>
        <v>1430000</v>
      </c>
      <c r="K48" s="14">
        <f t="shared" si="19"/>
        <v>0</v>
      </c>
      <c r="L48" s="14">
        <f t="shared" si="19"/>
        <v>1350000</v>
      </c>
      <c r="M48" s="14">
        <f t="shared" si="19"/>
        <v>80000</v>
      </c>
      <c r="N48" s="14">
        <f t="shared" si="19"/>
        <v>913155</v>
      </c>
      <c r="O48" s="14">
        <f t="shared" si="19"/>
        <v>0</v>
      </c>
      <c r="P48" s="14">
        <f t="shared" si="19"/>
        <v>887769</v>
      </c>
      <c r="Q48" s="14">
        <f t="shared" si="19"/>
        <v>25386</v>
      </c>
      <c r="R48" s="14">
        <f t="shared" si="19"/>
        <v>884689</v>
      </c>
      <c r="S48" s="14">
        <f t="shared" si="19"/>
        <v>0</v>
      </c>
      <c r="T48" s="14">
        <f t="shared" si="19"/>
        <v>859303</v>
      </c>
      <c r="U48" s="14">
        <f t="shared" si="19"/>
        <v>25386</v>
      </c>
      <c r="V48" s="14">
        <f>V49</f>
        <v>629924</v>
      </c>
      <c r="W48" s="14">
        <f>W49</f>
        <v>204079</v>
      </c>
      <c r="X48" s="102"/>
      <c r="AD48" s="338"/>
      <c r="AE48" s="119"/>
    </row>
    <row r="49" spans="1:31" s="422" customFormat="1" ht="31.5" customHeight="1">
      <c r="A49" s="678" t="s">
        <v>1287</v>
      </c>
      <c r="B49" s="394" t="s">
        <v>38</v>
      </c>
      <c r="C49" s="15" t="s">
        <v>55</v>
      </c>
      <c r="D49" s="394"/>
      <c r="E49" s="394"/>
      <c r="F49" s="632"/>
      <c r="G49" s="421"/>
      <c r="H49" s="421"/>
      <c r="I49" s="421"/>
      <c r="J49" s="453">
        <f t="shared" ref="J49:U49" si="20">+J50+J51+J54</f>
        <v>1430000</v>
      </c>
      <c r="K49" s="453">
        <f t="shared" si="20"/>
        <v>0</v>
      </c>
      <c r="L49" s="453">
        <f t="shared" si="20"/>
        <v>1350000</v>
      </c>
      <c r="M49" s="453">
        <f t="shared" si="20"/>
        <v>80000</v>
      </c>
      <c r="N49" s="453">
        <f t="shared" si="20"/>
        <v>913155</v>
      </c>
      <c r="O49" s="453">
        <f t="shared" si="20"/>
        <v>0</v>
      </c>
      <c r="P49" s="453">
        <f t="shared" si="20"/>
        <v>887769</v>
      </c>
      <c r="Q49" s="453">
        <f t="shared" si="20"/>
        <v>25386</v>
      </c>
      <c r="R49" s="453">
        <f t="shared" si="20"/>
        <v>884689</v>
      </c>
      <c r="S49" s="453">
        <f t="shared" si="20"/>
        <v>0</v>
      </c>
      <c r="T49" s="453">
        <f t="shared" si="20"/>
        <v>859303</v>
      </c>
      <c r="U49" s="453">
        <f t="shared" si="20"/>
        <v>25386</v>
      </c>
      <c r="V49" s="453">
        <f>V50+V51+V54</f>
        <v>629924</v>
      </c>
      <c r="W49" s="453">
        <f>W50+W51+W54</f>
        <v>204079</v>
      </c>
      <c r="X49" s="454"/>
      <c r="AD49" s="567"/>
      <c r="AE49" s="119"/>
    </row>
    <row r="50" spans="1:31" s="10" customFormat="1" ht="39.75" customHeight="1">
      <c r="A50" s="332" t="s">
        <v>39</v>
      </c>
      <c r="B50" s="326" t="s">
        <v>1254</v>
      </c>
      <c r="C50" s="15" t="s">
        <v>55</v>
      </c>
      <c r="D50" s="554"/>
      <c r="E50" s="332"/>
      <c r="F50" s="471"/>
      <c r="G50" s="471"/>
      <c r="H50" s="332"/>
      <c r="I50" s="471"/>
      <c r="J50" s="331"/>
      <c r="K50" s="331"/>
      <c r="L50" s="331"/>
      <c r="M50" s="331"/>
      <c r="N50" s="331"/>
      <c r="O50" s="331"/>
      <c r="P50" s="331"/>
      <c r="Q50" s="331"/>
      <c r="R50" s="331"/>
      <c r="S50" s="331"/>
      <c r="T50" s="331"/>
      <c r="U50" s="331"/>
      <c r="V50" s="331"/>
      <c r="W50" s="331"/>
      <c r="X50" s="332"/>
      <c r="AD50" s="339"/>
      <c r="AE50" s="119"/>
    </row>
    <row r="51" spans="1:31" s="10" customFormat="1" ht="42.75" customHeight="1">
      <c r="A51" s="397" t="s">
        <v>467</v>
      </c>
      <c r="B51" s="477" t="s">
        <v>56</v>
      </c>
      <c r="C51" s="15" t="s">
        <v>55</v>
      </c>
      <c r="D51" s="477"/>
      <c r="E51" s="477"/>
      <c r="F51" s="614"/>
      <c r="G51" s="328"/>
      <c r="H51" s="328"/>
      <c r="I51" s="328"/>
      <c r="J51" s="436">
        <f t="shared" ref="J51:U51" si="21">+SUM(J52:J53)</f>
        <v>1430000</v>
      </c>
      <c r="K51" s="436">
        <f t="shared" si="21"/>
        <v>0</v>
      </c>
      <c r="L51" s="436">
        <f t="shared" si="21"/>
        <v>1350000</v>
      </c>
      <c r="M51" s="436">
        <f t="shared" si="21"/>
        <v>80000</v>
      </c>
      <c r="N51" s="436">
        <f t="shared" si="21"/>
        <v>913155</v>
      </c>
      <c r="O51" s="436">
        <f t="shared" si="21"/>
        <v>0</v>
      </c>
      <c r="P51" s="436">
        <f t="shared" si="21"/>
        <v>887769</v>
      </c>
      <c r="Q51" s="436">
        <f t="shared" si="21"/>
        <v>25386</v>
      </c>
      <c r="R51" s="436">
        <f t="shared" si="21"/>
        <v>884689</v>
      </c>
      <c r="S51" s="436">
        <f t="shared" si="21"/>
        <v>0</v>
      </c>
      <c r="T51" s="436">
        <f t="shared" si="21"/>
        <v>859303</v>
      </c>
      <c r="U51" s="436">
        <f t="shared" si="21"/>
        <v>25386</v>
      </c>
      <c r="V51" s="436">
        <f>SUM(V52:V53)</f>
        <v>629924</v>
      </c>
      <c r="W51" s="436">
        <f>SUM(W52:W53)</f>
        <v>204079</v>
      </c>
      <c r="X51" s="437"/>
      <c r="AD51" s="339"/>
      <c r="AE51" s="119"/>
    </row>
    <row r="52" spans="1:31" s="8" customFormat="1" ht="225">
      <c r="A52" s="430" t="s">
        <v>144</v>
      </c>
      <c r="B52" s="42" t="s">
        <v>57</v>
      </c>
      <c r="C52" s="15" t="s">
        <v>55</v>
      </c>
      <c r="D52" s="42"/>
      <c r="E52" s="42"/>
      <c r="F52" s="37" t="s">
        <v>179</v>
      </c>
      <c r="G52" s="13" t="s">
        <v>178</v>
      </c>
      <c r="H52" s="309" t="s">
        <v>44</v>
      </c>
      <c r="I52" s="433" t="s">
        <v>58</v>
      </c>
      <c r="J52" s="457">
        <v>830000</v>
      </c>
      <c r="K52" s="12"/>
      <c r="L52" s="12">
        <v>750000</v>
      </c>
      <c r="M52" s="12">
        <v>80000</v>
      </c>
      <c r="N52" s="12">
        <f>O52+P52+Q52</f>
        <v>765387</v>
      </c>
      <c r="O52" s="12"/>
      <c r="P52" s="12">
        <v>740001</v>
      </c>
      <c r="Q52" s="12">
        <f>765387-740001</f>
        <v>25386</v>
      </c>
      <c r="R52" s="12">
        <f t="shared" ref="R52:R53" si="22">S52+T52+U52</f>
        <v>736921</v>
      </c>
      <c r="S52" s="12"/>
      <c r="T52" s="12">
        <f>740001-28466</f>
        <v>711535</v>
      </c>
      <c r="U52" s="12">
        <f>765387-740001</f>
        <v>25386</v>
      </c>
      <c r="V52" s="12">
        <v>147692</v>
      </c>
      <c r="W52" s="12">
        <v>93079</v>
      </c>
      <c r="X52" s="91" t="s">
        <v>1622</v>
      </c>
      <c r="AD52" s="338"/>
      <c r="AE52" s="119"/>
    </row>
    <row r="53" spans="1:31" s="8" customFormat="1" ht="87" customHeight="1">
      <c r="A53" s="426" t="s">
        <v>144</v>
      </c>
      <c r="B53" s="27" t="s">
        <v>96</v>
      </c>
      <c r="C53" s="15" t="s">
        <v>55</v>
      </c>
      <c r="D53" s="27"/>
      <c r="E53" s="27"/>
      <c r="F53" s="37" t="s">
        <v>97</v>
      </c>
      <c r="G53" s="37" t="s">
        <v>145</v>
      </c>
      <c r="H53" s="13" t="s">
        <v>53</v>
      </c>
      <c r="I53" s="13" t="s">
        <v>98</v>
      </c>
      <c r="J53" s="12">
        <f>K53+L53+M53</f>
        <v>600000</v>
      </c>
      <c r="K53" s="407"/>
      <c r="L53" s="407">
        <v>600000</v>
      </c>
      <c r="M53" s="407"/>
      <c r="N53" s="12">
        <f>O53+P53+Q53</f>
        <v>147768</v>
      </c>
      <c r="O53" s="407"/>
      <c r="P53" s="407">
        <v>147768</v>
      </c>
      <c r="Q53" s="12"/>
      <c r="R53" s="12">
        <f t="shared" si="22"/>
        <v>147768</v>
      </c>
      <c r="S53" s="407"/>
      <c r="T53" s="407">
        <v>147768</v>
      </c>
      <c r="U53" s="12"/>
      <c r="V53" s="12">
        <v>482232</v>
      </c>
      <c r="W53" s="797">
        <f>30000+13000+40000+28000</f>
        <v>111000</v>
      </c>
      <c r="X53" s="91" t="s">
        <v>1639</v>
      </c>
      <c r="Y53" s="7" t="s">
        <v>1664</v>
      </c>
      <c r="AD53" s="338"/>
      <c r="AE53" s="119"/>
    </row>
    <row r="54" spans="1:31" s="10" customFormat="1" ht="40.5" customHeight="1">
      <c r="A54" s="398" t="s">
        <v>1306</v>
      </c>
      <c r="B54" s="413" t="s">
        <v>1307</v>
      </c>
      <c r="C54" s="15" t="s">
        <v>55</v>
      </c>
      <c r="D54" s="328"/>
      <c r="E54" s="328"/>
      <c r="F54" s="614"/>
      <c r="G54" s="448"/>
      <c r="H54" s="328"/>
      <c r="I54" s="328"/>
      <c r="J54" s="637"/>
      <c r="K54" s="637"/>
      <c r="L54" s="637"/>
      <c r="M54" s="637"/>
      <c r="N54" s="637"/>
      <c r="O54" s="637"/>
      <c r="P54" s="637"/>
      <c r="Q54" s="637"/>
      <c r="R54" s="637"/>
      <c r="S54" s="637"/>
      <c r="T54" s="637"/>
      <c r="U54" s="637"/>
      <c r="V54" s="637"/>
      <c r="W54" s="637"/>
      <c r="X54" s="638"/>
      <c r="AD54" s="339"/>
      <c r="AE54" s="119"/>
    </row>
    <row r="55" spans="1:31" s="8" customFormat="1" ht="32.25" customHeight="1">
      <c r="A55" s="474">
        <v>3</v>
      </c>
      <c r="B55" s="317" t="s">
        <v>62</v>
      </c>
      <c r="C55" s="317" t="s">
        <v>62</v>
      </c>
      <c r="D55" s="317"/>
      <c r="E55" s="317"/>
      <c r="F55" s="37"/>
      <c r="G55" s="320"/>
      <c r="H55" s="320"/>
      <c r="I55" s="320"/>
      <c r="J55" s="14">
        <f t="shared" ref="J55:U55" si="23">+J56</f>
        <v>1365285</v>
      </c>
      <c r="K55" s="14">
        <f t="shared" si="23"/>
        <v>0</v>
      </c>
      <c r="L55" s="14">
        <f t="shared" si="23"/>
        <v>906033</v>
      </c>
      <c r="M55" s="14">
        <f t="shared" si="23"/>
        <v>459252</v>
      </c>
      <c r="N55" s="14">
        <f t="shared" si="23"/>
        <v>572593</v>
      </c>
      <c r="O55" s="14">
        <f t="shared" si="23"/>
        <v>0</v>
      </c>
      <c r="P55" s="14">
        <f t="shared" si="23"/>
        <v>534213</v>
      </c>
      <c r="Q55" s="14">
        <f t="shared" si="23"/>
        <v>38380</v>
      </c>
      <c r="R55" s="14">
        <f t="shared" si="23"/>
        <v>572593</v>
      </c>
      <c r="S55" s="14">
        <f t="shared" si="23"/>
        <v>0</v>
      </c>
      <c r="T55" s="14">
        <f t="shared" si="23"/>
        <v>534213</v>
      </c>
      <c r="U55" s="14">
        <f t="shared" si="23"/>
        <v>38380</v>
      </c>
      <c r="V55" s="14">
        <f>V56</f>
        <v>423768</v>
      </c>
      <c r="W55" s="14">
        <f>W56</f>
        <v>171000</v>
      </c>
      <c r="X55" s="102"/>
      <c r="AD55" s="338"/>
      <c r="AE55" s="119"/>
    </row>
    <row r="56" spans="1:31" s="10" customFormat="1" ht="26.25" customHeight="1">
      <c r="A56" s="393" t="s">
        <v>1288</v>
      </c>
      <c r="B56" s="394" t="s">
        <v>38</v>
      </c>
      <c r="C56" s="15" t="s">
        <v>62</v>
      </c>
      <c r="D56" s="394"/>
      <c r="E56" s="394"/>
      <c r="F56" s="421"/>
      <c r="G56" s="421"/>
      <c r="H56" s="421"/>
      <c r="I56" s="421"/>
      <c r="J56" s="453">
        <f>J58+J63+J57</f>
        <v>1365285</v>
      </c>
      <c r="K56" s="453">
        <f t="shared" ref="K56:U56" si="24">K58+K63</f>
        <v>0</v>
      </c>
      <c r="L56" s="453">
        <f t="shared" si="24"/>
        <v>906033</v>
      </c>
      <c r="M56" s="453">
        <f t="shared" si="24"/>
        <v>459252</v>
      </c>
      <c r="N56" s="453">
        <f t="shared" si="24"/>
        <v>572593</v>
      </c>
      <c r="O56" s="453">
        <f t="shared" si="24"/>
        <v>0</v>
      </c>
      <c r="P56" s="453">
        <f t="shared" si="24"/>
        <v>534213</v>
      </c>
      <c r="Q56" s="453">
        <f t="shared" si="24"/>
        <v>38380</v>
      </c>
      <c r="R56" s="453">
        <f t="shared" si="24"/>
        <v>572593</v>
      </c>
      <c r="S56" s="453">
        <f t="shared" si="24"/>
        <v>0</v>
      </c>
      <c r="T56" s="453">
        <f t="shared" si="24"/>
        <v>534213</v>
      </c>
      <c r="U56" s="453">
        <f t="shared" si="24"/>
        <v>38380</v>
      </c>
      <c r="V56" s="453">
        <f>V57+V58+V63</f>
        <v>423768</v>
      </c>
      <c r="W56" s="453">
        <f>W57+W58+W63</f>
        <v>171000</v>
      </c>
      <c r="X56" s="454"/>
      <c r="AD56" s="339"/>
      <c r="AE56" s="119"/>
    </row>
    <row r="57" spans="1:31" s="10" customFormat="1" ht="39.75" customHeight="1">
      <c r="A57" s="332" t="s">
        <v>39</v>
      </c>
      <c r="B57" s="326" t="s">
        <v>1254</v>
      </c>
      <c r="C57" s="15" t="s">
        <v>62</v>
      </c>
      <c r="D57" s="554"/>
      <c r="E57" s="332"/>
      <c r="F57" s="471"/>
      <c r="G57" s="471"/>
      <c r="H57" s="332"/>
      <c r="I57" s="471"/>
      <c r="J57" s="331"/>
      <c r="K57" s="331"/>
      <c r="L57" s="331"/>
      <c r="M57" s="331"/>
      <c r="N57" s="331"/>
      <c r="O57" s="331"/>
      <c r="P57" s="331"/>
      <c r="Q57" s="331"/>
      <c r="R57" s="331"/>
      <c r="S57" s="331"/>
      <c r="T57" s="331"/>
      <c r="U57" s="331"/>
      <c r="V57" s="331"/>
      <c r="W57" s="331"/>
      <c r="X57" s="332"/>
      <c r="AD57" s="339"/>
      <c r="AE57" s="119"/>
    </row>
    <row r="58" spans="1:31" s="10" customFormat="1" ht="45">
      <c r="A58" s="397" t="s">
        <v>467</v>
      </c>
      <c r="B58" s="477" t="s">
        <v>56</v>
      </c>
      <c r="C58" s="15" t="s">
        <v>62</v>
      </c>
      <c r="D58" s="477"/>
      <c r="E58" s="477"/>
      <c r="F58" s="614"/>
      <c r="G58" s="328"/>
      <c r="H58" s="328"/>
      <c r="I58" s="328"/>
      <c r="J58" s="436">
        <f t="shared" ref="J58:U58" si="25">SUM(J59:J62)</f>
        <v>1365285</v>
      </c>
      <c r="K58" s="436">
        <f t="shared" si="25"/>
        <v>0</v>
      </c>
      <c r="L58" s="436">
        <f t="shared" si="25"/>
        <v>906033</v>
      </c>
      <c r="M58" s="436">
        <f t="shared" si="25"/>
        <v>459252</v>
      </c>
      <c r="N58" s="436">
        <f t="shared" si="25"/>
        <v>572593</v>
      </c>
      <c r="O58" s="436">
        <f t="shared" si="25"/>
        <v>0</v>
      </c>
      <c r="P58" s="436">
        <f t="shared" si="25"/>
        <v>534213</v>
      </c>
      <c r="Q58" s="436">
        <f t="shared" si="25"/>
        <v>38380</v>
      </c>
      <c r="R58" s="436">
        <f t="shared" si="25"/>
        <v>572593</v>
      </c>
      <c r="S58" s="436">
        <f t="shared" si="25"/>
        <v>0</v>
      </c>
      <c r="T58" s="436">
        <f t="shared" si="25"/>
        <v>534213</v>
      </c>
      <c r="U58" s="436">
        <f t="shared" si="25"/>
        <v>38380</v>
      </c>
      <c r="V58" s="436">
        <f>SUM(V59:V62)</f>
        <v>423768</v>
      </c>
      <c r="W58" s="436">
        <f>SUM(W59:W62)</f>
        <v>171000</v>
      </c>
      <c r="X58" s="437"/>
      <c r="AD58" s="339"/>
      <c r="AE58" s="119"/>
    </row>
    <row r="59" spans="1:31" s="8" customFormat="1" ht="75">
      <c r="A59" s="32" t="s">
        <v>144</v>
      </c>
      <c r="B59" s="27" t="s">
        <v>99</v>
      </c>
      <c r="C59" s="15" t="s">
        <v>62</v>
      </c>
      <c r="D59" s="433">
        <v>7912611</v>
      </c>
      <c r="E59" s="13">
        <v>292</v>
      </c>
      <c r="F59" s="408" t="s">
        <v>100</v>
      </c>
      <c r="G59" s="685" t="s">
        <v>101</v>
      </c>
      <c r="H59" s="685" t="s">
        <v>102</v>
      </c>
      <c r="I59" s="13" t="s">
        <v>103</v>
      </c>
      <c r="J59" s="12">
        <f>K59+L59+M59</f>
        <v>682260</v>
      </c>
      <c r="K59" s="123"/>
      <c r="L59" s="407">
        <v>348000</v>
      </c>
      <c r="M59" s="407">
        <f>682260-L59</f>
        <v>334260</v>
      </c>
      <c r="N59" s="12">
        <f>O59+P59+Q59</f>
        <v>206801</v>
      </c>
      <c r="O59" s="407"/>
      <c r="P59" s="407">
        <v>206751</v>
      </c>
      <c r="Q59" s="407">
        <v>50</v>
      </c>
      <c r="R59" s="12">
        <f>S59+T59+U59</f>
        <v>206801</v>
      </c>
      <c r="S59" s="407"/>
      <c r="T59" s="407">
        <v>206751</v>
      </c>
      <c r="U59" s="407">
        <v>50</v>
      </c>
      <c r="V59" s="407">
        <v>148000</v>
      </c>
      <c r="W59" s="407">
        <v>73000</v>
      </c>
      <c r="X59" s="91" t="s">
        <v>1639</v>
      </c>
      <c r="AD59" s="338"/>
      <c r="AE59" s="119"/>
    </row>
    <row r="60" spans="1:31" s="8" customFormat="1" ht="90">
      <c r="A60" s="32" t="s">
        <v>144</v>
      </c>
      <c r="B60" s="27" t="s">
        <v>104</v>
      </c>
      <c r="C60" s="15" t="s">
        <v>62</v>
      </c>
      <c r="D60" s="433">
        <v>7918802</v>
      </c>
      <c r="E60" s="13">
        <v>292</v>
      </c>
      <c r="F60" s="408" t="s">
        <v>107</v>
      </c>
      <c r="G60" s="685" t="s">
        <v>108</v>
      </c>
      <c r="H60" s="685" t="s">
        <v>102</v>
      </c>
      <c r="I60" s="685" t="s">
        <v>109</v>
      </c>
      <c r="J60" s="12">
        <f>K60+L60+M60</f>
        <v>212966</v>
      </c>
      <c r="K60" s="123"/>
      <c r="L60" s="407">
        <v>207974</v>
      </c>
      <c r="M60" s="407">
        <f>212966-L60</f>
        <v>4992</v>
      </c>
      <c r="N60" s="12">
        <f>O60+P60+Q60</f>
        <v>131705</v>
      </c>
      <c r="O60" s="407"/>
      <c r="P60" s="407">
        <v>131705</v>
      </c>
      <c r="Q60" s="407"/>
      <c r="R60" s="12">
        <f>S60+T60+U60</f>
        <v>131705</v>
      </c>
      <c r="S60" s="407"/>
      <c r="T60" s="407">
        <v>131705</v>
      </c>
      <c r="U60" s="407"/>
      <c r="V60" s="407">
        <v>62966</v>
      </c>
      <c r="W60" s="407">
        <v>50000</v>
      </c>
      <c r="X60" s="91" t="s">
        <v>1639</v>
      </c>
      <c r="AD60" s="338"/>
      <c r="AE60" s="119"/>
    </row>
    <row r="61" spans="1:31" s="8" customFormat="1" ht="60">
      <c r="A61" s="32" t="s">
        <v>144</v>
      </c>
      <c r="B61" s="686" t="s">
        <v>105</v>
      </c>
      <c r="C61" s="15" t="s">
        <v>62</v>
      </c>
      <c r="D61" s="433">
        <v>8089918</v>
      </c>
      <c r="E61" s="13">
        <v>292</v>
      </c>
      <c r="F61" s="680" t="s">
        <v>110</v>
      </c>
      <c r="G61" s="680" t="s">
        <v>111</v>
      </c>
      <c r="H61" s="685" t="s">
        <v>53</v>
      </c>
      <c r="I61" s="408" t="s">
        <v>112</v>
      </c>
      <c r="J61" s="12">
        <f>K61+L61+M61</f>
        <v>244802</v>
      </c>
      <c r="K61" s="123"/>
      <c r="L61" s="407">
        <v>124802</v>
      </c>
      <c r="M61" s="407">
        <f>244802-L61</f>
        <v>120000</v>
      </c>
      <c r="N61" s="687">
        <v>38330</v>
      </c>
      <c r="O61" s="123"/>
      <c r="P61" s="123"/>
      <c r="Q61" s="687">
        <v>38330</v>
      </c>
      <c r="R61" s="687">
        <v>38330</v>
      </c>
      <c r="S61" s="407"/>
      <c r="T61" s="407"/>
      <c r="U61" s="687">
        <v>38330</v>
      </c>
      <c r="V61" s="407">
        <v>204802</v>
      </c>
      <c r="W61" s="407">
        <v>40000</v>
      </c>
      <c r="X61" s="91" t="s">
        <v>1639</v>
      </c>
      <c r="AD61" s="338"/>
      <c r="AE61" s="119"/>
    </row>
    <row r="62" spans="1:31" s="8" customFormat="1" ht="75">
      <c r="A62" s="426" t="s">
        <v>144</v>
      </c>
      <c r="B62" s="777" t="s">
        <v>106</v>
      </c>
      <c r="C62" s="15" t="s">
        <v>62</v>
      </c>
      <c r="D62" s="433">
        <v>7898757</v>
      </c>
      <c r="E62" s="13">
        <v>292</v>
      </c>
      <c r="F62" s="778" t="s">
        <v>146</v>
      </c>
      <c r="G62" s="316" t="s">
        <v>174</v>
      </c>
      <c r="H62" s="316" t="s">
        <v>44</v>
      </c>
      <c r="I62" s="778" t="s">
        <v>113</v>
      </c>
      <c r="J62" s="12">
        <f>K62+L62+M62</f>
        <v>225257</v>
      </c>
      <c r="K62" s="407"/>
      <c r="L62" s="407">
        <v>225257</v>
      </c>
      <c r="M62" s="407"/>
      <c r="N62" s="12">
        <f>O62+P62+Q62</f>
        <v>195757</v>
      </c>
      <c r="O62" s="407"/>
      <c r="P62" s="407">
        <v>195757</v>
      </c>
      <c r="Q62" s="12"/>
      <c r="R62" s="12">
        <f>S62+T62+U62</f>
        <v>195757</v>
      </c>
      <c r="S62" s="407"/>
      <c r="T62" s="407">
        <v>195757</v>
      </c>
      <c r="U62" s="12"/>
      <c r="V62" s="12">
        <v>8000</v>
      </c>
      <c r="W62" s="407">
        <v>8000</v>
      </c>
      <c r="X62" s="91" t="s">
        <v>1639</v>
      </c>
      <c r="AD62" s="338"/>
      <c r="AE62" s="119"/>
    </row>
    <row r="63" spans="1:31" s="10" customFormat="1" ht="24" customHeight="1">
      <c r="A63" s="398" t="s">
        <v>1306</v>
      </c>
      <c r="B63" s="413" t="s">
        <v>1307</v>
      </c>
      <c r="C63" s="15" t="s">
        <v>62</v>
      </c>
      <c r="D63" s="423"/>
      <c r="E63" s="328"/>
      <c r="F63" s="328"/>
      <c r="G63" s="328"/>
      <c r="H63" s="328"/>
      <c r="I63" s="328"/>
      <c r="J63" s="436"/>
      <c r="K63" s="436"/>
      <c r="L63" s="436"/>
      <c r="M63" s="436"/>
      <c r="N63" s="436"/>
      <c r="O63" s="436"/>
      <c r="P63" s="436"/>
      <c r="Q63" s="436"/>
      <c r="R63" s="436"/>
      <c r="S63" s="436"/>
      <c r="T63" s="436"/>
      <c r="U63" s="436"/>
      <c r="V63" s="436"/>
      <c r="W63" s="436"/>
      <c r="X63" s="437"/>
      <c r="AD63" s="339"/>
      <c r="AE63" s="119"/>
    </row>
    <row r="64" spans="1:31" s="8" customFormat="1" ht="48" customHeight="1">
      <c r="A64" s="474">
        <v>4</v>
      </c>
      <c r="B64" s="317" t="s">
        <v>80</v>
      </c>
      <c r="C64" s="317" t="s">
        <v>80</v>
      </c>
      <c r="D64" s="317"/>
      <c r="E64" s="317"/>
      <c r="F64" s="37"/>
      <c r="G64" s="320"/>
      <c r="H64" s="320"/>
      <c r="I64" s="320"/>
      <c r="J64" s="14">
        <f t="shared" ref="J64:U64" si="26">J65</f>
        <v>326792</v>
      </c>
      <c r="K64" s="14">
        <f t="shared" si="26"/>
        <v>0</v>
      </c>
      <c r="L64" s="14">
        <f t="shared" si="26"/>
        <v>260100</v>
      </c>
      <c r="M64" s="14">
        <f t="shared" si="26"/>
        <v>66692</v>
      </c>
      <c r="N64" s="14">
        <f t="shared" si="26"/>
        <v>68372</v>
      </c>
      <c r="O64" s="14">
        <f t="shared" si="26"/>
        <v>0</v>
      </c>
      <c r="P64" s="14">
        <f t="shared" si="26"/>
        <v>68372</v>
      </c>
      <c r="Q64" s="14">
        <f t="shared" si="26"/>
        <v>0</v>
      </c>
      <c r="R64" s="14">
        <f t="shared" si="26"/>
        <v>108372</v>
      </c>
      <c r="S64" s="14">
        <f t="shared" si="26"/>
        <v>0</v>
      </c>
      <c r="T64" s="14">
        <f t="shared" si="26"/>
        <v>108372</v>
      </c>
      <c r="U64" s="14">
        <f t="shared" si="26"/>
        <v>0</v>
      </c>
      <c r="V64" s="14">
        <f>V65</f>
        <v>191870</v>
      </c>
      <c r="W64" s="14">
        <f>W65</f>
        <v>151728</v>
      </c>
      <c r="X64" s="102"/>
      <c r="AD64" s="338"/>
      <c r="AE64" s="119"/>
    </row>
    <row r="65" spans="1:31" s="10" customFormat="1" ht="32.25" customHeight="1">
      <c r="A65" s="393" t="s">
        <v>1290</v>
      </c>
      <c r="B65" s="394" t="s">
        <v>38</v>
      </c>
      <c r="C65" s="15" t="s">
        <v>80</v>
      </c>
      <c r="D65" s="394"/>
      <c r="E65" s="394"/>
      <c r="F65" s="421"/>
      <c r="G65" s="421"/>
      <c r="H65" s="421"/>
      <c r="I65" s="421"/>
      <c r="J65" s="453">
        <f t="shared" ref="J65:U65" si="27">J67+J66+J69</f>
        <v>326792</v>
      </c>
      <c r="K65" s="453">
        <f t="shared" si="27"/>
        <v>0</v>
      </c>
      <c r="L65" s="453">
        <f t="shared" si="27"/>
        <v>260100</v>
      </c>
      <c r="M65" s="453">
        <f t="shared" si="27"/>
        <v>66692</v>
      </c>
      <c r="N65" s="453">
        <f t="shared" si="27"/>
        <v>68372</v>
      </c>
      <c r="O65" s="453">
        <f t="shared" si="27"/>
        <v>0</v>
      </c>
      <c r="P65" s="453">
        <f t="shared" si="27"/>
        <v>68372</v>
      </c>
      <c r="Q65" s="453">
        <f t="shared" si="27"/>
        <v>0</v>
      </c>
      <c r="R65" s="453">
        <f t="shared" si="27"/>
        <v>108372</v>
      </c>
      <c r="S65" s="453">
        <f t="shared" si="27"/>
        <v>0</v>
      </c>
      <c r="T65" s="453">
        <f t="shared" si="27"/>
        <v>108372</v>
      </c>
      <c r="U65" s="453">
        <f t="shared" si="27"/>
        <v>0</v>
      </c>
      <c r="V65" s="453">
        <f>V66+V67+V69</f>
        <v>191870</v>
      </c>
      <c r="W65" s="453">
        <f>W66+W67+W69</f>
        <v>151728</v>
      </c>
      <c r="X65" s="454"/>
      <c r="AD65" s="339"/>
      <c r="AE65" s="119"/>
    </row>
    <row r="66" spans="1:31" s="10" customFormat="1" ht="39.75" customHeight="1">
      <c r="A66" s="332" t="s">
        <v>39</v>
      </c>
      <c r="B66" s="326" t="s">
        <v>1254</v>
      </c>
      <c r="C66" s="15" t="s">
        <v>80</v>
      </c>
      <c r="D66" s="554"/>
      <c r="E66" s="332"/>
      <c r="F66" s="471"/>
      <c r="G66" s="471"/>
      <c r="H66" s="332"/>
      <c r="I66" s="471"/>
      <c r="J66" s="331"/>
      <c r="K66" s="331"/>
      <c r="L66" s="331"/>
      <c r="M66" s="331"/>
      <c r="N66" s="331"/>
      <c r="O66" s="331"/>
      <c r="P66" s="331"/>
      <c r="Q66" s="331"/>
      <c r="R66" s="331"/>
      <c r="S66" s="331"/>
      <c r="T66" s="331"/>
      <c r="U66" s="331"/>
      <c r="V66" s="331"/>
      <c r="W66" s="331"/>
      <c r="X66" s="332"/>
      <c r="AD66" s="339"/>
      <c r="AE66" s="119"/>
    </row>
    <row r="67" spans="1:31" s="10" customFormat="1" ht="45">
      <c r="A67" s="397" t="s">
        <v>467</v>
      </c>
      <c r="B67" s="477" t="s">
        <v>56</v>
      </c>
      <c r="C67" s="15" t="s">
        <v>80</v>
      </c>
      <c r="D67" s="477"/>
      <c r="E67" s="477"/>
      <c r="F67" s="614"/>
      <c r="G67" s="328"/>
      <c r="H67" s="328"/>
      <c r="I67" s="328"/>
      <c r="J67" s="436">
        <f t="shared" ref="J67:U67" si="28">SUM(J68:J68)</f>
        <v>326792</v>
      </c>
      <c r="K67" s="436">
        <f t="shared" si="28"/>
        <v>0</v>
      </c>
      <c r="L67" s="436">
        <f t="shared" si="28"/>
        <v>260100</v>
      </c>
      <c r="M67" s="436">
        <f t="shared" si="28"/>
        <v>66692</v>
      </c>
      <c r="N67" s="436">
        <f t="shared" si="28"/>
        <v>68372</v>
      </c>
      <c r="O67" s="436">
        <f t="shared" si="28"/>
        <v>0</v>
      </c>
      <c r="P67" s="436">
        <f t="shared" si="28"/>
        <v>68372</v>
      </c>
      <c r="Q67" s="436">
        <f t="shared" si="28"/>
        <v>0</v>
      </c>
      <c r="R67" s="436">
        <f t="shared" si="28"/>
        <v>108372</v>
      </c>
      <c r="S67" s="436">
        <f t="shared" si="28"/>
        <v>0</v>
      </c>
      <c r="T67" s="436">
        <f t="shared" si="28"/>
        <v>108372</v>
      </c>
      <c r="U67" s="436">
        <f t="shared" si="28"/>
        <v>0</v>
      </c>
      <c r="V67" s="436">
        <f>V68</f>
        <v>191870</v>
      </c>
      <c r="W67" s="436">
        <f>W68</f>
        <v>151728</v>
      </c>
      <c r="X67" s="437"/>
      <c r="AD67" s="339"/>
      <c r="AE67" s="119"/>
    </row>
    <row r="68" spans="1:31" s="8" customFormat="1" ht="90">
      <c r="A68" s="627" t="s">
        <v>144</v>
      </c>
      <c r="B68" s="42" t="s">
        <v>81</v>
      </c>
      <c r="C68" s="15" t="s">
        <v>80</v>
      </c>
      <c r="D68" s="42"/>
      <c r="E68" s="42"/>
      <c r="F68" s="37" t="s">
        <v>82</v>
      </c>
      <c r="G68" s="37" t="s">
        <v>83</v>
      </c>
      <c r="H68" s="13" t="s">
        <v>41</v>
      </c>
      <c r="I68" s="13" t="s">
        <v>84</v>
      </c>
      <c r="J68" s="12">
        <f>K68+L68+M68</f>
        <v>326792</v>
      </c>
      <c r="K68" s="407"/>
      <c r="L68" s="407">
        <v>260100</v>
      </c>
      <c r="M68" s="407">
        <f>326792-L68</f>
        <v>66692</v>
      </c>
      <c r="N68" s="12">
        <f>O68+P68+Q68</f>
        <v>68372</v>
      </c>
      <c r="O68" s="407"/>
      <c r="P68" s="12">
        <v>68372</v>
      </c>
      <c r="Q68" s="407"/>
      <c r="R68" s="12">
        <f>S68+T68+U68</f>
        <v>108372</v>
      </c>
      <c r="S68" s="407"/>
      <c r="T68" s="12">
        <f>L68-W68</f>
        <v>108372</v>
      </c>
      <c r="U68" s="407"/>
      <c r="V68" s="787">
        <v>191870</v>
      </c>
      <c r="W68" s="12">
        <f>191728-40000</f>
        <v>151728</v>
      </c>
      <c r="X68" s="349"/>
      <c r="AD68" s="338"/>
      <c r="AE68" s="119"/>
    </row>
    <row r="69" spans="1:31" s="10" customFormat="1" ht="24" customHeight="1">
      <c r="A69" s="398" t="s">
        <v>1306</v>
      </c>
      <c r="B69" s="413" t="s">
        <v>1307</v>
      </c>
      <c r="C69" s="15" t="s">
        <v>80</v>
      </c>
      <c r="D69" s="423"/>
      <c r="E69" s="328"/>
      <c r="F69" s="328"/>
      <c r="G69" s="328"/>
      <c r="H69" s="328"/>
      <c r="I69" s="328"/>
      <c r="J69" s="436"/>
      <c r="K69" s="436"/>
      <c r="L69" s="436"/>
      <c r="M69" s="436"/>
      <c r="N69" s="436"/>
      <c r="O69" s="436"/>
      <c r="P69" s="436"/>
      <c r="Q69" s="436"/>
      <c r="R69" s="436"/>
      <c r="S69" s="436"/>
      <c r="T69" s="436"/>
      <c r="U69" s="436"/>
      <c r="V69" s="436"/>
      <c r="W69" s="436"/>
      <c r="X69" s="437"/>
      <c r="AD69" s="339"/>
      <c r="AE69" s="119"/>
    </row>
    <row r="70" spans="1:31" s="8" customFormat="1" ht="38.25" customHeight="1">
      <c r="A70" s="474">
        <v>5</v>
      </c>
      <c r="B70" s="317" t="s">
        <v>54</v>
      </c>
      <c r="C70" s="317" t="s">
        <v>54</v>
      </c>
      <c r="D70" s="317"/>
      <c r="E70" s="317"/>
      <c r="F70" s="37"/>
      <c r="G70" s="320"/>
      <c r="H70" s="320"/>
      <c r="I70" s="320"/>
      <c r="J70" s="14">
        <f t="shared" ref="J70:U70" si="29">+J71</f>
        <v>82000</v>
      </c>
      <c r="K70" s="14">
        <f t="shared" si="29"/>
        <v>0</v>
      </c>
      <c r="L70" s="14">
        <f t="shared" si="29"/>
        <v>82000</v>
      </c>
      <c r="M70" s="14">
        <f t="shared" si="29"/>
        <v>0</v>
      </c>
      <c r="N70" s="14">
        <f t="shared" si="29"/>
        <v>21190</v>
      </c>
      <c r="O70" s="14">
        <f t="shared" si="29"/>
        <v>0</v>
      </c>
      <c r="P70" s="14">
        <f t="shared" si="29"/>
        <v>21190</v>
      </c>
      <c r="Q70" s="14">
        <f t="shared" si="29"/>
        <v>0</v>
      </c>
      <c r="R70" s="14">
        <f t="shared" si="29"/>
        <v>21190</v>
      </c>
      <c r="S70" s="14">
        <f t="shared" si="29"/>
        <v>0</v>
      </c>
      <c r="T70" s="14">
        <f t="shared" si="29"/>
        <v>21190</v>
      </c>
      <c r="U70" s="14">
        <f t="shared" si="29"/>
        <v>0</v>
      </c>
      <c r="V70" s="14">
        <f>V71</f>
        <v>60810</v>
      </c>
      <c r="W70" s="14">
        <f>W71</f>
        <v>48000</v>
      </c>
      <c r="X70" s="102"/>
      <c r="AD70" s="338"/>
      <c r="AE70" s="119"/>
    </row>
    <row r="71" spans="1:31" s="10" customFormat="1" ht="38.25" customHeight="1">
      <c r="A71" s="678" t="s">
        <v>1309</v>
      </c>
      <c r="B71" s="394" t="s">
        <v>38</v>
      </c>
      <c r="C71" s="15" t="s">
        <v>54</v>
      </c>
      <c r="D71" s="394"/>
      <c r="E71" s="394"/>
      <c r="F71" s="614"/>
      <c r="G71" s="421"/>
      <c r="H71" s="421"/>
      <c r="I71" s="421"/>
      <c r="J71" s="453">
        <f t="shared" ref="J71:U71" si="30">+J72+J73+J75</f>
        <v>82000</v>
      </c>
      <c r="K71" s="453">
        <f t="shared" si="30"/>
        <v>0</v>
      </c>
      <c r="L71" s="453">
        <f t="shared" si="30"/>
        <v>82000</v>
      </c>
      <c r="M71" s="453">
        <f t="shared" si="30"/>
        <v>0</v>
      </c>
      <c r="N71" s="453">
        <f t="shared" si="30"/>
        <v>21190</v>
      </c>
      <c r="O71" s="453">
        <f t="shared" si="30"/>
        <v>0</v>
      </c>
      <c r="P71" s="453">
        <f t="shared" si="30"/>
        <v>21190</v>
      </c>
      <c r="Q71" s="453">
        <f t="shared" si="30"/>
        <v>0</v>
      </c>
      <c r="R71" s="453">
        <f t="shared" si="30"/>
        <v>21190</v>
      </c>
      <c r="S71" s="453">
        <f t="shared" si="30"/>
        <v>0</v>
      </c>
      <c r="T71" s="453">
        <f t="shared" si="30"/>
        <v>21190</v>
      </c>
      <c r="U71" s="453">
        <f t="shared" si="30"/>
        <v>0</v>
      </c>
      <c r="V71" s="453">
        <f>+V72+V73+V75</f>
        <v>60810</v>
      </c>
      <c r="W71" s="453">
        <f>+W72+W73+W75</f>
        <v>48000</v>
      </c>
      <c r="X71" s="454"/>
      <c r="AD71" s="339"/>
      <c r="AE71" s="119"/>
    </row>
    <row r="72" spans="1:31" s="10" customFormat="1" ht="39.75" customHeight="1">
      <c r="A72" s="332" t="s">
        <v>39</v>
      </c>
      <c r="B72" s="326" t="s">
        <v>1254</v>
      </c>
      <c r="C72" s="15" t="s">
        <v>54</v>
      </c>
      <c r="D72" s="554"/>
      <c r="E72" s="332"/>
      <c r="F72" s="471"/>
      <c r="G72" s="471"/>
      <c r="H72" s="332"/>
      <c r="I72" s="471"/>
      <c r="J72" s="331"/>
      <c r="K72" s="331"/>
      <c r="L72" s="331"/>
      <c r="M72" s="331"/>
      <c r="N72" s="331"/>
      <c r="O72" s="331"/>
      <c r="P72" s="331"/>
      <c r="Q72" s="331"/>
      <c r="R72" s="331"/>
      <c r="S72" s="331"/>
      <c r="T72" s="331"/>
      <c r="U72" s="331"/>
      <c r="V72" s="331"/>
      <c r="W72" s="331"/>
      <c r="X72" s="332"/>
      <c r="AD72" s="339"/>
      <c r="AE72" s="119"/>
    </row>
    <row r="73" spans="1:31" s="10" customFormat="1" ht="49.5" customHeight="1">
      <c r="A73" s="397" t="s">
        <v>467</v>
      </c>
      <c r="B73" s="477" t="s">
        <v>56</v>
      </c>
      <c r="C73" s="15" t="s">
        <v>54</v>
      </c>
      <c r="D73" s="477"/>
      <c r="E73" s="477"/>
      <c r="F73" s="614"/>
      <c r="G73" s="328"/>
      <c r="H73" s="328"/>
      <c r="I73" s="328"/>
      <c r="J73" s="436">
        <f t="shared" ref="J73:U73" si="31">SUM(J74:J74)</f>
        <v>82000</v>
      </c>
      <c r="K73" s="436">
        <f t="shared" si="31"/>
        <v>0</v>
      </c>
      <c r="L73" s="436">
        <f t="shared" si="31"/>
        <v>82000</v>
      </c>
      <c r="M73" s="436">
        <f t="shared" si="31"/>
        <v>0</v>
      </c>
      <c r="N73" s="436">
        <f t="shared" si="31"/>
        <v>21190</v>
      </c>
      <c r="O73" s="436">
        <f t="shared" si="31"/>
        <v>0</v>
      </c>
      <c r="P73" s="436">
        <f t="shared" si="31"/>
        <v>21190</v>
      </c>
      <c r="Q73" s="436">
        <f t="shared" si="31"/>
        <v>0</v>
      </c>
      <c r="R73" s="436">
        <f t="shared" si="31"/>
        <v>21190</v>
      </c>
      <c r="S73" s="436">
        <f t="shared" si="31"/>
        <v>0</v>
      </c>
      <c r="T73" s="436">
        <f t="shared" si="31"/>
        <v>21190</v>
      </c>
      <c r="U73" s="436">
        <f t="shared" si="31"/>
        <v>0</v>
      </c>
      <c r="V73" s="436">
        <f>V74</f>
        <v>60810</v>
      </c>
      <c r="W73" s="436">
        <f>W74</f>
        <v>48000</v>
      </c>
      <c r="X73" s="437"/>
      <c r="AD73" s="339"/>
      <c r="AE73" s="119"/>
    </row>
    <row r="74" spans="1:31" s="8" customFormat="1" ht="36" customHeight="1">
      <c r="A74" s="430" t="s">
        <v>144</v>
      </c>
      <c r="B74" s="622" t="s">
        <v>85</v>
      </c>
      <c r="C74" s="15" t="s">
        <v>54</v>
      </c>
      <c r="D74" s="622"/>
      <c r="E74" s="622"/>
      <c r="F74" s="433" t="s">
        <v>86</v>
      </c>
      <c r="G74" s="13" t="s">
        <v>168</v>
      </c>
      <c r="H74" s="13" t="s">
        <v>87</v>
      </c>
      <c r="I74" s="690" t="s">
        <v>88</v>
      </c>
      <c r="J74" s="12">
        <f>K74+L74+M74</f>
        <v>82000</v>
      </c>
      <c r="K74" s="457"/>
      <c r="L74" s="12">
        <v>82000</v>
      </c>
      <c r="M74" s="12"/>
      <c r="N74" s="12">
        <f>O74+P74+Q74</f>
        <v>21190</v>
      </c>
      <c r="O74" s="12"/>
      <c r="P74" s="12">
        <v>21190</v>
      </c>
      <c r="Q74" s="12"/>
      <c r="R74" s="12">
        <f>S74+T74+U74</f>
        <v>21190</v>
      </c>
      <c r="S74" s="12"/>
      <c r="T74" s="12">
        <v>21190</v>
      </c>
      <c r="U74" s="12"/>
      <c r="V74" s="12">
        <v>60810</v>
      </c>
      <c r="W74" s="12">
        <v>48000</v>
      </c>
      <c r="X74" s="91" t="s">
        <v>1622</v>
      </c>
      <c r="AD74" s="338"/>
      <c r="AE74" s="119"/>
    </row>
    <row r="75" spans="1:31" s="10" customFormat="1" ht="24" customHeight="1">
      <c r="A75" s="398" t="s">
        <v>1306</v>
      </c>
      <c r="B75" s="413" t="s">
        <v>1307</v>
      </c>
      <c r="C75" s="15" t="s">
        <v>54</v>
      </c>
      <c r="D75" s="423"/>
      <c r="E75" s="328"/>
      <c r="F75" s="328"/>
      <c r="G75" s="328"/>
      <c r="H75" s="328"/>
      <c r="I75" s="328"/>
      <c r="J75" s="436"/>
      <c r="K75" s="436"/>
      <c r="L75" s="436"/>
      <c r="M75" s="436"/>
      <c r="N75" s="436"/>
      <c r="O75" s="436"/>
      <c r="P75" s="436"/>
      <c r="Q75" s="436"/>
      <c r="R75" s="436"/>
      <c r="S75" s="436"/>
      <c r="T75" s="436"/>
      <c r="U75" s="436"/>
      <c r="V75" s="436"/>
      <c r="W75" s="436"/>
      <c r="X75" s="437"/>
      <c r="AD75" s="339"/>
      <c r="AE75" s="119"/>
    </row>
    <row r="76" spans="1:31" s="8" customFormat="1" ht="43.5" customHeight="1">
      <c r="A76" s="474">
        <v>6</v>
      </c>
      <c r="B76" s="317" t="s">
        <v>89</v>
      </c>
      <c r="C76" s="317" t="s">
        <v>89</v>
      </c>
      <c r="D76" s="317"/>
      <c r="E76" s="317"/>
      <c r="F76" s="37"/>
      <c r="G76" s="123"/>
      <c r="H76" s="320"/>
      <c r="I76" s="320"/>
      <c r="J76" s="14">
        <f t="shared" ref="J76:U76" si="32">J77</f>
        <v>285000</v>
      </c>
      <c r="K76" s="14">
        <f t="shared" si="32"/>
        <v>0</v>
      </c>
      <c r="L76" s="14">
        <f t="shared" si="32"/>
        <v>285000</v>
      </c>
      <c r="M76" s="14">
        <f t="shared" si="32"/>
        <v>0</v>
      </c>
      <c r="N76" s="14">
        <f t="shared" si="32"/>
        <v>104500</v>
      </c>
      <c r="O76" s="14">
        <f t="shared" si="32"/>
        <v>0</v>
      </c>
      <c r="P76" s="14">
        <f t="shared" si="32"/>
        <v>104500</v>
      </c>
      <c r="Q76" s="14">
        <f t="shared" si="32"/>
        <v>0</v>
      </c>
      <c r="R76" s="14">
        <f t="shared" si="32"/>
        <v>104500</v>
      </c>
      <c r="S76" s="14">
        <f t="shared" si="32"/>
        <v>0</v>
      </c>
      <c r="T76" s="14">
        <f t="shared" si="32"/>
        <v>104500</v>
      </c>
      <c r="U76" s="14">
        <f t="shared" si="32"/>
        <v>0</v>
      </c>
      <c r="V76" s="14">
        <f>V77</f>
        <v>177000</v>
      </c>
      <c r="W76" s="14">
        <f>W77</f>
        <v>97000</v>
      </c>
      <c r="X76" s="102"/>
      <c r="AD76" s="338"/>
      <c r="AE76" s="119"/>
    </row>
    <row r="77" spans="1:31" s="10" customFormat="1" ht="36.75" customHeight="1">
      <c r="A77" s="393" t="s">
        <v>1311</v>
      </c>
      <c r="B77" s="394" t="s">
        <v>38</v>
      </c>
      <c r="C77" s="15" t="s">
        <v>89</v>
      </c>
      <c r="D77" s="394"/>
      <c r="E77" s="394"/>
      <c r="F77" s="421"/>
      <c r="G77" s="421"/>
      <c r="H77" s="421"/>
      <c r="I77" s="421"/>
      <c r="J77" s="453">
        <f t="shared" ref="J77:U77" si="33">J79+J78+J82</f>
        <v>285000</v>
      </c>
      <c r="K77" s="453">
        <f t="shared" si="33"/>
        <v>0</v>
      </c>
      <c r="L77" s="453">
        <f t="shared" si="33"/>
        <v>285000</v>
      </c>
      <c r="M77" s="453">
        <f t="shared" si="33"/>
        <v>0</v>
      </c>
      <c r="N77" s="453">
        <f t="shared" si="33"/>
        <v>104500</v>
      </c>
      <c r="O77" s="453">
        <f t="shared" si="33"/>
        <v>0</v>
      </c>
      <c r="P77" s="453">
        <f t="shared" si="33"/>
        <v>104500</v>
      </c>
      <c r="Q77" s="453">
        <f t="shared" si="33"/>
        <v>0</v>
      </c>
      <c r="R77" s="453">
        <f t="shared" si="33"/>
        <v>104500</v>
      </c>
      <c r="S77" s="453">
        <f t="shared" si="33"/>
        <v>0</v>
      </c>
      <c r="T77" s="453">
        <f t="shared" si="33"/>
        <v>104500</v>
      </c>
      <c r="U77" s="453">
        <f t="shared" si="33"/>
        <v>0</v>
      </c>
      <c r="V77" s="453">
        <f>V78+V79+V82</f>
        <v>177000</v>
      </c>
      <c r="W77" s="453">
        <f>W78+W79+W82</f>
        <v>97000</v>
      </c>
      <c r="X77" s="454"/>
      <c r="AD77" s="339"/>
      <c r="AE77" s="119"/>
    </row>
    <row r="78" spans="1:31" s="10" customFormat="1" ht="39.75" customHeight="1">
      <c r="A78" s="332" t="s">
        <v>39</v>
      </c>
      <c r="B78" s="326" t="s">
        <v>1254</v>
      </c>
      <c r="C78" s="15" t="s">
        <v>89</v>
      </c>
      <c r="D78" s="554"/>
      <c r="E78" s="332"/>
      <c r="F78" s="471"/>
      <c r="G78" s="471"/>
      <c r="H78" s="332"/>
      <c r="I78" s="471"/>
      <c r="J78" s="331"/>
      <c r="K78" s="331"/>
      <c r="L78" s="331"/>
      <c r="M78" s="331"/>
      <c r="N78" s="331"/>
      <c r="O78" s="331"/>
      <c r="P78" s="331"/>
      <c r="Q78" s="331"/>
      <c r="R78" s="331"/>
      <c r="S78" s="331"/>
      <c r="T78" s="331"/>
      <c r="U78" s="331"/>
      <c r="V78" s="331"/>
      <c r="W78" s="331"/>
      <c r="X78" s="332"/>
      <c r="AD78" s="339"/>
      <c r="AE78" s="119"/>
    </row>
    <row r="79" spans="1:31" s="10" customFormat="1" ht="45">
      <c r="A79" s="397" t="s">
        <v>467</v>
      </c>
      <c r="B79" s="477" t="s">
        <v>56</v>
      </c>
      <c r="C79" s="15" t="s">
        <v>89</v>
      </c>
      <c r="D79" s="477"/>
      <c r="E79" s="477"/>
      <c r="F79" s="614"/>
      <c r="G79" s="328"/>
      <c r="H79" s="328"/>
      <c r="I79" s="328"/>
      <c r="J79" s="436">
        <f t="shared" ref="J79:U79" si="34">SUM(J80:J81)</f>
        <v>285000</v>
      </c>
      <c r="K79" s="436">
        <f t="shared" si="34"/>
        <v>0</v>
      </c>
      <c r="L79" s="436">
        <f t="shared" si="34"/>
        <v>285000</v>
      </c>
      <c r="M79" s="436">
        <f t="shared" si="34"/>
        <v>0</v>
      </c>
      <c r="N79" s="436">
        <f t="shared" si="34"/>
        <v>104500</v>
      </c>
      <c r="O79" s="436">
        <f t="shared" si="34"/>
        <v>0</v>
      </c>
      <c r="P79" s="436">
        <f t="shared" si="34"/>
        <v>104500</v>
      </c>
      <c r="Q79" s="436">
        <f t="shared" si="34"/>
        <v>0</v>
      </c>
      <c r="R79" s="436">
        <f t="shared" si="34"/>
        <v>104500</v>
      </c>
      <c r="S79" s="436">
        <f t="shared" si="34"/>
        <v>0</v>
      </c>
      <c r="T79" s="436">
        <f t="shared" si="34"/>
        <v>104500</v>
      </c>
      <c r="U79" s="436">
        <f t="shared" si="34"/>
        <v>0</v>
      </c>
      <c r="V79" s="436">
        <f>SUM(V80:V81)</f>
        <v>177000</v>
      </c>
      <c r="W79" s="436">
        <f>SUM(W80:W81)</f>
        <v>97000</v>
      </c>
      <c r="X79" s="437"/>
      <c r="AD79" s="339"/>
      <c r="AE79" s="119"/>
    </row>
    <row r="80" spans="1:31" s="8" customFormat="1" ht="60">
      <c r="A80" s="426" t="s">
        <v>144</v>
      </c>
      <c r="B80" s="42" t="s">
        <v>90</v>
      </c>
      <c r="C80" s="15" t="s">
        <v>89</v>
      </c>
      <c r="D80" s="42"/>
      <c r="E80" s="42"/>
      <c r="F80" s="20" t="s">
        <v>91</v>
      </c>
      <c r="G80" s="13" t="s">
        <v>170</v>
      </c>
      <c r="H80" s="20" t="s">
        <v>93</v>
      </c>
      <c r="I80" s="20" t="s">
        <v>94</v>
      </c>
      <c r="J80" s="12">
        <f>K80+L80+M80</f>
        <v>200000</v>
      </c>
      <c r="K80" s="12"/>
      <c r="L80" s="12">
        <v>200000</v>
      </c>
      <c r="M80" s="12"/>
      <c r="N80" s="12">
        <f>O80+P80+Q80</f>
        <v>30000</v>
      </c>
      <c r="O80" s="12"/>
      <c r="P80" s="12">
        <v>30000</v>
      </c>
      <c r="Q80" s="12"/>
      <c r="R80" s="12">
        <f>S80+T80+U80</f>
        <v>30000</v>
      </c>
      <c r="S80" s="12"/>
      <c r="T80" s="12">
        <v>30000</v>
      </c>
      <c r="U80" s="12"/>
      <c r="V80" s="12">
        <v>170000</v>
      </c>
      <c r="W80" s="12">
        <v>90000</v>
      </c>
      <c r="X80" s="557"/>
      <c r="AD80" s="338"/>
      <c r="AE80" s="119"/>
    </row>
    <row r="81" spans="1:37" s="8" customFormat="1" ht="46.5" customHeight="1">
      <c r="A81" s="430" t="s">
        <v>144</v>
      </c>
      <c r="B81" s="692" t="s">
        <v>52</v>
      </c>
      <c r="C81" s="15" t="s">
        <v>89</v>
      </c>
      <c r="D81" s="692"/>
      <c r="E81" s="692"/>
      <c r="F81" s="20" t="s">
        <v>92</v>
      </c>
      <c r="G81" s="13" t="s">
        <v>169</v>
      </c>
      <c r="H81" s="20" t="s">
        <v>53</v>
      </c>
      <c r="I81" s="20" t="s">
        <v>95</v>
      </c>
      <c r="J81" s="12">
        <f>K81+L81+M81</f>
        <v>85000</v>
      </c>
      <c r="K81" s="12"/>
      <c r="L81" s="12">
        <v>85000</v>
      </c>
      <c r="M81" s="12"/>
      <c r="N81" s="12">
        <f>O81+P81+Q81</f>
        <v>74500</v>
      </c>
      <c r="O81" s="12"/>
      <c r="P81" s="12">
        <v>74500</v>
      </c>
      <c r="Q81" s="12"/>
      <c r="R81" s="12">
        <f>S81+T81+U81</f>
        <v>74500</v>
      </c>
      <c r="S81" s="12"/>
      <c r="T81" s="12">
        <v>74500</v>
      </c>
      <c r="U81" s="12"/>
      <c r="V81" s="12">
        <v>7000</v>
      </c>
      <c r="W81" s="12">
        <v>7000</v>
      </c>
      <c r="X81" s="557" t="s">
        <v>1622</v>
      </c>
      <c r="AD81" s="338"/>
      <c r="AE81" s="119"/>
    </row>
    <row r="82" spans="1:37" s="10" customFormat="1" ht="24" customHeight="1">
      <c r="A82" s="398" t="s">
        <v>1306</v>
      </c>
      <c r="B82" s="413" t="s">
        <v>1307</v>
      </c>
      <c r="C82" s="15" t="s">
        <v>89</v>
      </c>
      <c r="D82" s="423"/>
      <c r="E82" s="328"/>
      <c r="F82" s="328"/>
      <c r="G82" s="328"/>
      <c r="H82" s="328"/>
      <c r="I82" s="328"/>
      <c r="J82" s="436"/>
      <c r="K82" s="436"/>
      <c r="L82" s="436"/>
      <c r="M82" s="436"/>
      <c r="N82" s="436"/>
      <c r="O82" s="436"/>
      <c r="P82" s="436"/>
      <c r="Q82" s="436"/>
      <c r="R82" s="436"/>
      <c r="S82" s="436"/>
      <c r="T82" s="436"/>
      <c r="U82" s="436"/>
      <c r="V82" s="436"/>
      <c r="W82" s="436"/>
      <c r="X82" s="437"/>
      <c r="AD82" s="339"/>
      <c r="AE82" s="119"/>
    </row>
    <row r="83" spans="1:37" s="231" customFormat="1" ht="36" customHeight="1">
      <c r="A83" s="426" t="s">
        <v>1313</v>
      </c>
      <c r="B83" s="317" t="s">
        <v>1265</v>
      </c>
      <c r="C83" s="317" t="s">
        <v>1265</v>
      </c>
      <c r="D83" s="306"/>
      <c r="E83" s="306"/>
      <c r="F83" s="306"/>
      <c r="G83" s="320"/>
      <c r="H83" s="306"/>
      <c r="I83" s="306"/>
      <c r="J83" s="14">
        <f t="shared" ref="J83:U83" si="35">+J84</f>
        <v>18002000</v>
      </c>
      <c r="K83" s="14">
        <f t="shared" si="35"/>
        <v>0</v>
      </c>
      <c r="L83" s="14">
        <f t="shared" si="35"/>
        <v>2000000</v>
      </c>
      <c r="M83" s="14">
        <f t="shared" si="35"/>
        <v>4500000</v>
      </c>
      <c r="N83" s="14">
        <f t="shared" si="35"/>
        <v>0</v>
      </c>
      <c r="O83" s="14">
        <f t="shared" si="35"/>
        <v>0</v>
      </c>
      <c r="P83" s="14">
        <f t="shared" si="35"/>
        <v>0</v>
      </c>
      <c r="Q83" s="14">
        <f t="shared" si="35"/>
        <v>0</v>
      </c>
      <c r="R83" s="14">
        <f t="shared" si="35"/>
        <v>1583683</v>
      </c>
      <c r="S83" s="14">
        <f t="shared" si="35"/>
        <v>0</v>
      </c>
      <c r="T83" s="14">
        <f t="shared" si="35"/>
        <v>885787</v>
      </c>
      <c r="U83" s="14">
        <f t="shared" si="35"/>
        <v>697896</v>
      </c>
      <c r="V83" s="14">
        <f>+V84</f>
        <v>3216436</v>
      </c>
      <c r="W83" s="14">
        <f>W84</f>
        <v>598406</v>
      </c>
      <c r="X83" s="102"/>
      <c r="AD83" s="46"/>
      <c r="AE83" s="119"/>
    </row>
    <row r="84" spans="1:37" s="422" customFormat="1" ht="33.75" customHeight="1">
      <c r="A84" s="495" t="s">
        <v>1312</v>
      </c>
      <c r="B84" s="394" t="s">
        <v>38</v>
      </c>
      <c r="C84" s="15" t="s">
        <v>1265</v>
      </c>
      <c r="D84" s="722"/>
      <c r="E84" s="722"/>
      <c r="F84" s="722"/>
      <c r="G84" s="421"/>
      <c r="H84" s="722"/>
      <c r="I84" s="722"/>
      <c r="J84" s="453">
        <f t="shared" ref="J84:U84" si="36">+J85+J86</f>
        <v>18002000</v>
      </c>
      <c r="K84" s="453">
        <f t="shared" si="36"/>
        <v>0</v>
      </c>
      <c r="L84" s="453">
        <f t="shared" si="36"/>
        <v>2000000</v>
      </c>
      <c r="M84" s="453">
        <f t="shared" si="36"/>
        <v>4500000</v>
      </c>
      <c r="N84" s="453">
        <f t="shared" si="36"/>
        <v>0</v>
      </c>
      <c r="O84" s="453">
        <f t="shared" si="36"/>
        <v>0</v>
      </c>
      <c r="P84" s="453">
        <f t="shared" si="36"/>
        <v>0</v>
      </c>
      <c r="Q84" s="453">
        <f t="shared" si="36"/>
        <v>0</v>
      </c>
      <c r="R84" s="453">
        <f t="shared" si="36"/>
        <v>1583683</v>
      </c>
      <c r="S84" s="453">
        <f t="shared" si="36"/>
        <v>0</v>
      </c>
      <c r="T84" s="453">
        <f t="shared" si="36"/>
        <v>885787</v>
      </c>
      <c r="U84" s="453">
        <f t="shared" si="36"/>
        <v>697896</v>
      </c>
      <c r="V84" s="453">
        <f>V85+V86</f>
        <v>3216436</v>
      </c>
      <c r="W84" s="453">
        <f>W85+W86</f>
        <v>598406</v>
      </c>
      <c r="X84" s="454">
        <f>+SUM(X88:X93)</f>
        <v>0</v>
      </c>
      <c r="AD84" s="567"/>
      <c r="AE84" s="119"/>
    </row>
    <row r="85" spans="1:37" s="10" customFormat="1" ht="39.75" customHeight="1">
      <c r="A85" s="332" t="s">
        <v>39</v>
      </c>
      <c r="B85" s="326" t="s">
        <v>1254</v>
      </c>
      <c r="C85" s="15" t="s">
        <v>1265</v>
      </c>
      <c r="D85" s="554"/>
      <c r="E85" s="332"/>
      <c r="F85" s="471"/>
      <c r="G85" s="471"/>
      <c r="H85" s="332"/>
      <c r="I85" s="471"/>
      <c r="J85" s="331"/>
      <c r="K85" s="331"/>
      <c r="L85" s="331"/>
      <c r="M85" s="331"/>
      <c r="N85" s="331"/>
      <c r="O85" s="331"/>
      <c r="P85" s="331"/>
      <c r="Q85" s="331"/>
      <c r="R85" s="331"/>
      <c r="S85" s="331"/>
      <c r="T85" s="331"/>
      <c r="U85" s="331"/>
      <c r="V85" s="331"/>
      <c r="W85" s="331"/>
      <c r="X85" s="332"/>
      <c r="AD85" s="339"/>
      <c r="AE85" s="119"/>
    </row>
    <row r="86" spans="1:37" s="10" customFormat="1" ht="57.75" customHeight="1">
      <c r="A86" s="398" t="s">
        <v>467</v>
      </c>
      <c r="B86" s="326" t="s">
        <v>56</v>
      </c>
      <c r="C86" s="15" t="s">
        <v>1265</v>
      </c>
      <c r="D86" s="473"/>
      <c r="E86" s="473"/>
      <c r="F86" s="473"/>
      <c r="G86" s="328"/>
      <c r="H86" s="473"/>
      <c r="I86" s="473"/>
      <c r="J86" s="436">
        <f>+J87</f>
        <v>18002000</v>
      </c>
      <c r="K86" s="436">
        <f t="shared" ref="K86:U86" si="37">+K87</f>
        <v>0</v>
      </c>
      <c r="L86" s="436">
        <f t="shared" si="37"/>
        <v>2000000</v>
      </c>
      <c r="M86" s="436">
        <f t="shared" si="37"/>
        <v>4500000</v>
      </c>
      <c r="N86" s="436">
        <f t="shared" si="37"/>
        <v>0</v>
      </c>
      <c r="O86" s="436">
        <f t="shared" si="37"/>
        <v>0</v>
      </c>
      <c r="P86" s="436">
        <f t="shared" si="37"/>
        <v>0</v>
      </c>
      <c r="Q86" s="436">
        <f t="shared" si="37"/>
        <v>0</v>
      </c>
      <c r="R86" s="436">
        <f t="shared" si="37"/>
        <v>1583683</v>
      </c>
      <c r="S86" s="436">
        <f t="shared" si="37"/>
        <v>0</v>
      </c>
      <c r="T86" s="436">
        <f t="shared" si="37"/>
        <v>885787</v>
      </c>
      <c r="U86" s="436">
        <f t="shared" si="37"/>
        <v>697896</v>
      </c>
      <c r="V86" s="436">
        <f>V87</f>
        <v>3216436</v>
      </c>
      <c r="W86" s="436">
        <f>W87</f>
        <v>598406</v>
      </c>
      <c r="X86" s="437"/>
      <c r="AD86" s="339"/>
      <c r="AE86" s="119"/>
    </row>
    <row r="87" spans="1:37" s="8" customFormat="1" ht="59.25" customHeight="1">
      <c r="A87" s="627" t="s">
        <v>144</v>
      </c>
      <c r="B87" s="106" t="s">
        <v>67</v>
      </c>
      <c r="C87" s="15" t="s">
        <v>1265</v>
      </c>
      <c r="D87" s="106"/>
      <c r="E87" s="106"/>
      <c r="F87" s="37" t="s">
        <v>68</v>
      </c>
      <c r="G87" s="37" t="s">
        <v>69</v>
      </c>
      <c r="H87" s="13" t="s">
        <v>48</v>
      </c>
      <c r="I87" s="37" t="s">
        <v>70</v>
      </c>
      <c r="J87" s="12">
        <v>18002000</v>
      </c>
      <c r="K87" s="12"/>
      <c r="L87" s="12">
        <v>2000000</v>
      </c>
      <c r="M87" s="12">
        <v>4500000</v>
      </c>
      <c r="N87" s="12"/>
      <c r="O87" s="12"/>
      <c r="P87" s="12"/>
      <c r="Q87" s="12"/>
      <c r="R87" s="12">
        <f>S87+T87+U87</f>
        <v>1583683</v>
      </c>
      <c r="S87" s="12"/>
      <c r="T87" s="12">
        <v>885787</v>
      </c>
      <c r="U87" s="12">
        <v>697896</v>
      </c>
      <c r="V87" s="616">
        <v>3216436</v>
      </c>
      <c r="W87" s="12">
        <v>598406</v>
      </c>
      <c r="X87" s="616" t="s">
        <v>1639</v>
      </c>
      <c r="AD87" s="338"/>
      <c r="AE87" s="119"/>
    </row>
    <row r="88" spans="1:37" s="8" customFormat="1" ht="34.5" customHeight="1">
      <c r="A88" s="613" t="s">
        <v>1660</v>
      </c>
      <c r="B88" s="779" t="s">
        <v>138</v>
      </c>
      <c r="C88" s="780"/>
      <c r="D88" s="779"/>
      <c r="E88" s="779"/>
      <c r="F88" s="37"/>
      <c r="G88" s="318"/>
      <c r="H88" s="311"/>
      <c r="I88" s="320"/>
      <c r="J88" s="429">
        <f t="shared" ref="J88:U88" si="38">+J89</f>
        <v>1658088</v>
      </c>
      <c r="K88" s="429">
        <f t="shared" si="38"/>
        <v>0</v>
      </c>
      <c r="L88" s="429">
        <f t="shared" si="38"/>
        <v>1540088</v>
      </c>
      <c r="M88" s="429">
        <f t="shared" si="38"/>
        <v>0</v>
      </c>
      <c r="N88" s="429">
        <f t="shared" si="38"/>
        <v>707797</v>
      </c>
      <c r="O88" s="429">
        <f t="shared" si="38"/>
        <v>0</v>
      </c>
      <c r="P88" s="429">
        <f t="shared" si="38"/>
        <v>707797</v>
      </c>
      <c r="Q88" s="429">
        <f t="shared" si="38"/>
        <v>0</v>
      </c>
      <c r="R88" s="429">
        <f t="shared" si="38"/>
        <v>707797</v>
      </c>
      <c r="S88" s="429">
        <f t="shared" si="38"/>
        <v>0</v>
      </c>
      <c r="T88" s="429">
        <f t="shared" si="38"/>
        <v>707797</v>
      </c>
      <c r="U88" s="429">
        <f t="shared" si="38"/>
        <v>0</v>
      </c>
      <c r="V88" s="429">
        <f>V89</f>
        <v>7000</v>
      </c>
      <c r="W88" s="429">
        <f>W89</f>
        <v>7000</v>
      </c>
      <c r="X88" s="700"/>
      <c r="AD88" s="338"/>
      <c r="AE88" s="119"/>
    </row>
    <row r="89" spans="1:37" s="8" customFormat="1" ht="32.25" customHeight="1">
      <c r="A89" s="474">
        <v>1</v>
      </c>
      <c r="B89" s="317" t="s">
        <v>55</v>
      </c>
      <c r="C89" s="317" t="s">
        <v>55</v>
      </c>
      <c r="D89" s="317"/>
      <c r="E89" s="317"/>
      <c r="F89" s="37"/>
      <c r="G89" s="320"/>
      <c r="H89" s="320"/>
      <c r="I89" s="320"/>
      <c r="J89" s="14">
        <f t="shared" ref="J89:U89" si="39">J90</f>
        <v>1658088</v>
      </c>
      <c r="K89" s="14">
        <f t="shared" si="39"/>
        <v>0</v>
      </c>
      <c r="L89" s="14">
        <f t="shared" si="39"/>
        <v>1540088</v>
      </c>
      <c r="M89" s="14">
        <f t="shared" si="39"/>
        <v>0</v>
      </c>
      <c r="N89" s="14">
        <f t="shared" si="39"/>
        <v>707797</v>
      </c>
      <c r="O89" s="14">
        <f t="shared" si="39"/>
        <v>0</v>
      </c>
      <c r="P89" s="14">
        <f t="shared" si="39"/>
        <v>707797</v>
      </c>
      <c r="Q89" s="14">
        <f t="shared" si="39"/>
        <v>0</v>
      </c>
      <c r="R89" s="14">
        <f t="shared" si="39"/>
        <v>707797</v>
      </c>
      <c r="S89" s="14">
        <f t="shared" si="39"/>
        <v>0</v>
      </c>
      <c r="T89" s="14">
        <f t="shared" si="39"/>
        <v>707797</v>
      </c>
      <c r="U89" s="14">
        <f t="shared" si="39"/>
        <v>0</v>
      </c>
      <c r="V89" s="14">
        <f>V90</f>
        <v>7000</v>
      </c>
      <c r="W89" s="14">
        <f>W90</f>
        <v>7000</v>
      </c>
      <c r="X89" s="102"/>
      <c r="AD89" s="338"/>
      <c r="AE89" s="119"/>
    </row>
    <row r="90" spans="1:37" s="10" customFormat="1" ht="26.25" customHeight="1">
      <c r="A90" s="393" t="s">
        <v>1305</v>
      </c>
      <c r="B90" s="394" t="s">
        <v>38</v>
      </c>
      <c r="C90" s="15" t="s">
        <v>55</v>
      </c>
      <c r="D90" s="394"/>
      <c r="E90" s="394"/>
      <c r="F90" s="421"/>
      <c r="G90" s="421"/>
      <c r="H90" s="421"/>
      <c r="I90" s="421"/>
      <c r="J90" s="453">
        <f t="shared" ref="J90:U90" si="40">J92+J91</f>
        <v>1658088</v>
      </c>
      <c r="K90" s="453">
        <f t="shared" si="40"/>
        <v>0</v>
      </c>
      <c r="L90" s="453">
        <f t="shared" si="40"/>
        <v>1540088</v>
      </c>
      <c r="M90" s="453">
        <f t="shared" si="40"/>
        <v>0</v>
      </c>
      <c r="N90" s="453">
        <f t="shared" si="40"/>
        <v>707797</v>
      </c>
      <c r="O90" s="453">
        <f t="shared" si="40"/>
        <v>0</v>
      </c>
      <c r="P90" s="453">
        <f t="shared" si="40"/>
        <v>707797</v>
      </c>
      <c r="Q90" s="453">
        <f t="shared" si="40"/>
        <v>0</v>
      </c>
      <c r="R90" s="453">
        <f t="shared" si="40"/>
        <v>707797</v>
      </c>
      <c r="S90" s="453">
        <f t="shared" si="40"/>
        <v>0</v>
      </c>
      <c r="T90" s="453">
        <f t="shared" si="40"/>
        <v>707797</v>
      </c>
      <c r="U90" s="453">
        <f t="shared" si="40"/>
        <v>0</v>
      </c>
      <c r="V90" s="453">
        <f>V91+V92</f>
        <v>7000</v>
      </c>
      <c r="W90" s="453">
        <f>W91+W92</f>
        <v>7000</v>
      </c>
      <c r="X90" s="454"/>
      <c r="AD90" s="339"/>
      <c r="AE90" s="119"/>
    </row>
    <row r="91" spans="1:37" s="10" customFormat="1" ht="39.75" customHeight="1">
      <c r="A91" s="332" t="s">
        <v>39</v>
      </c>
      <c r="B91" s="326" t="s">
        <v>1254</v>
      </c>
      <c r="C91" s="15" t="s">
        <v>55</v>
      </c>
      <c r="D91" s="554"/>
      <c r="E91" s="332"/>
      <c r="F91" s="471"/>
      <c r="G91" s="471"/>
      <c r="H91" s="332"/>
      <c r="I91" s="471"/>
      <c r="J91" s="331"/>
      <c r="K91" s="331"/>
      <c r="L91" s="331"/>
      <c r="M91" s="331"/>
      <c r="N91" s="331"/>
      <c r="O91" s="331"/>
      <c r="P91" s="331"/>
      <c r="Q91" s="331"/>
      <c r="R91" s="331"/>
      <c r="S91" s="331"/>
      <c r="T91" s="331"/>
      <c r="U91" s="331"/>
      <c r="V91" s="331"/>
      <c r="W91" s="331"/>
      <c r="X91" s="332"/>
      <c r="AD91" s="339"/>
      <c r="AE91" s="119"/>
    </row>
    <row r="92" spans="1:37" s="10" customFormat="1" ht="45">
      <c r="A92" s="397" t="s">
        <v>467</v>
      </c>
      <c r="B92" s="477" t="s">
        <v>56</v>
      </c>
      <c r="C92" s="15" t="s">
        <v>55</v>
      </c>
      <c r="D92" s="477"/>
      <c r="E92" s="477"/>
      <c r="F92" s="614"/>
      <c r="G92" s="328"/>
      <c r="H92" s="328"/>
      <c r="I92" s="328"/>
      <c r="J92" s="436">
        <f t="shared" ref="J92:U92" si="41">J93</f>
        <v>1658088</v>
      </c>
      <c r="K92" s="436">
        <f t="shared" si="41"/>
        <v>0</v>
      </c>
      <c r="L92" s="436">
        <f t="shared" si="41"/>
        <v>1540088</v>
      </c>
      <c r="M92" s="436">
        <f t="shared" si="41"/>
        <v>0</v>
      </c>
      <c r="N92" s="436">
        <f t="shared" si="41"/>
        <v>707797</v>
      </c>
      <c r="O92" s="436">
        <f t="shared" si="41"/>
        <v>0</v>
      </c>
      <c r="P92" s="436">
        <f t="shared" si="41"/>
        <v>707797</v>
      </c>
      <c r="Q92" s="436">
        <f t="shared" si="41"/>
        <v>0</v>
      </c>
      <c r="R92" s="436">
        <f t="shared" si="41"/>
        <v>707797</v>
      </c>
      <c r="S92" s="436">
        <f t="shared" si="41"/>
        <v>0</v>
      </c>
      <c r="T92" s="436">
        <f t="shared" si="41"/>
        <v>707797</v>
      </c>
      <c r="U92" s="436">
        <f t="shared" si="41"/>
        <v>0</v>
      </c>
      <c r="V92" s="436">
        <f>V93</f>
        <v>7000</v>
      </c>
      <c r="W92" s="436">
        <f>W93</f>
        <v>7000</v>
      </c>
      <c r="X92" s="437"/>
      <c r="AD92" s="339"/>
      <c r="AE92" s="119"/>
    </row>
    <row r="93" spans="1:37" s="8" customFormat="1" ht="105">
      <c r="A93" s="781" t="s">
        <v>144</v>
      </c>
      <c r="B93" s="782" t="s">
        <v>139</v>
      </c>
      <c r="C93" s="322" t="s">
        <v>55</v>
      </c>
      <c r="D93" s="782"/>
      <c r="E93" s="782"/>
      <c r="F93" s="783" t="s">
        <v>140</v>
      </c>
      <c r="G93" s="784" t="s">
        <v>173</v>
      </c>
      <c r="H93" s="784" t="s">
        <v>141</v>
      </c>
      <c r="I93" s="784" t="s">
        <v>142</v>
      </c>
      <c r="J93" s="785">
        <v>1658088</v>
      </c>
      <c r="K93" s="785"/>
      <c r="L93" s="785">
        <v>1540088</v>
      </c>
      <c r="M93" s="785"/>
      <c r="N93" s="323">
        <f>O93+P93+Q93</f>
        <v>707797</v>
      </c>
      <c r="O93" s="785"/>
      <c r="P93" s="785">
        <v>707797</v>
      </c>
      <c r="Q93" s="323"/>
      <c r="R93" s="323">
        <f>S93+T93+U93</f>
        <v>707797</v>
      </c>
      <c r="S93" s="785"/>
      <c r="T93" s="785">
        <v>707797</v>
      </c>
      <c r="U93" s="323"/>
      <c r="V93" s="323">
        <v>7000</v>
      </c>
      <c r="W93" s="785">
        <v>7000</v>
      </c>
      <c r="X93" s="786" t="s">
        <v>1639</v>
      </c>
      <c r="Y93" s="8" t="s">
        <v>1663</v>
      </c>
      <c r="AD93" s="338"/>
      <c r="AE93" s="119"/>
    </row>
    <row r="95" spans="1:37" s="772" customFormat="1">
      <c r="A95" s="6"/>
      <c r="B95" s="6"/>
      <c r="D95" s="6"/>
      <c r="E95" s="6"/>
      <c r="F95" s="6"/>
      <c r="G95" s="6"/>
      <c r="H95" s="6"/>
      <c r="J95" s="6"/>
      <c r="K95" s="6"/>
      <c r="L95" s="6"/>
      <c r="M95" s="6"/>
      <c r="N95" s="6"/>
      <c r="O95" s="6"/>
      <c r="P95" s="6"/>
      <c r="Q95" s="6"/>
      <c r="R95" s="6"/>
      <c r="S95" s="6"/>
      <c r="T95" s="6"/>
      <c r="U95" s="6"/>
      <c r="V95" s="6"/>
      <c r="W95" s="6"/>
      <c r="Y95" s="6"/>
      <c r="Z95" s="6"/>
      <c r="AA95" s="6"/>
      <c r="AB95" s="6"/>
      <c r="AC95" s="6"/>
      <c r="AD95" s="358"/>
      <c r="AE95" s="6"/>
      <c r="AF95" s="6"/>
      <c r="AG95" s="6"/>
      <c r="AH95" s="6"/>
      <c r="AI95" s="6"/>
      <c r="AJ95" s="6"/>
      <c r="AK95" s="6"/>
    </row>
  </sheetData>
  <mergeCells count="28">
    <mergeCell ref="C6:C9"/>
    <mergeCell ref="D6:D9"/>
    <mergeCell ref="E6:E9"/>
    <mergeCell ref="F6:F9"/>
    <mergeCell ref="G6:G9"/>
    <mergeCell ref="H6:H9"/>
    <mergeCell ref="I6:M6"/>
    <mergeCell ref="K8:M8"/>
    <mergeCell ref="N8:N9"/>
    <mergeCell ref="I7:I9"/>
    <mergeCell ref="J7:M7"/>
    <mergeCell ref="J8:J9"/>
    <mergeCell ref="U1:X1"/>
    <mergeCell ref="V6:V9"/>
    <mergeCell ref="X6:X9"/>
    <mergeCell ref="O8:Q8"/>
    <mergeCell ref="R8:R9"/>
    <mergeCell ref="S8:U8"/>
    <mergeCell ref="N6:Q7"/>
    <mergeCell ref="R6:U7"/>
    <mergeCell ref="A4:X4"/>
    <mergeCell ref="W6:W9"/>
    <mergeCell ref="V5:X5"/>
    <mergeCell ref="B1:D1"/>
    <mergeCell ref="A2:X2"/>
    <mergeCell ref="A3:X3"/>
    <mergeCell ref="A6:A9"/>
    <mergeCell ref="B6:B9"/>
  </mergeCells>
  <conditionalFormatting sqref="D1">
    <cfRule type="duplicateValues" dxfId="6" priority="97"/>
    <cfRule type="duplicateValues" dxfId="5" priority="98"/>
  </conditionalFormatting>
  <printOptions horizontalCentered="1"/>
  <pageMargins left="0.19685039370078741" right="0.11811023622047245" top="0.39370078740157483" bottom="0.31496062992125984" header="0.19685039370078741" footer="0.19685039370078741"/>
  <pageSetup paperSize="9" scale="50" fitToHeight="0" orientation="landscape" verticalDpi="300" r:id="rId1"/>
  <headerFooter>
    <oddFooter>&amp;C&amp;P</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J1008"/>
  <sheetViews>
    <sheetView showZeros="0" zoomScale="80" zoomScaleNormal="80" workbookViewId="0">
      <pane xSplit="5" ySplit="11" topLeftCell="I12" activePane="bottomRight" state="frozen"/>
      <selection pane="topRight" activeCell="F1" sqref="F1"/>
      <selection pane="bottomLeft" activeCell="A13" sqref="A13"/>
      <selection pane="bottomRight" activeCell="J13" sqref="J13"/>
    </sheetView>
  </sheetViews>
  <sheetFormatPr defaultColWidth="10.42578125" defaultRowHeight="15"/>
  <cols>
    <col min="1" max="1" width="5.7109375" style="6" customWidth="1"/>
    <col min="2" max="2" width="33" style="6" customWidth="1"/>
    <col min="3" max="3" width="20.28515625" style="772" hidden="1" customWidth="1"/>
    <col min="4" max="5" width="10.42578125" style="6" hidden="1" customWidth="1"/>
    <col min="6" max="6" width="9.5703125" style="6" customWidth="1"/>
    <col min="7" max="7" width="10.140625" style="6" customWidth="1"/>
    <col min="8" max="8" width="9.5703125" style="6" customWidth="1"/>
    <col min="9" max="9" width="18.140625" style="772" customWidth="1"/>
    <col min="10" max="10" width="12.7109375" style="6" customWidth="1"/>
    <col min="11" max="11" width="10.42578125" style="6" customWidth="1"/>
    <col min="12" max="12" width="11.28515625" style="6" customWidth="1"/>
    <col min="13" max="13" width="11.140625" style="6" customWidth="1"/>
    <col min="14" max="14" width="11.28515625" style="6" bestFit="1" customWidth="1"/>
    <col min="15" max="17" width="10.42578125" style="6" customWidth="1"/>
    <col min="18" max="18" width="13" style="6" bestFit="1" customWidth="1"/>
    <col min="19" max="21" width="9.7109375" style="6" customWidth="1"/>
    <col min="22" max="22" width="13.140625" style="6" customWidth="1"/>
    <col min="23" max="23" width="11.28515625" style="6" bestFit="1" customWidth="1"/>
    <col min="24" max="25" width="12.85546875" style="6" customWidth="1"/>
    <col min="26" max="27" width="11" style="6" customWidth="1"/>
    <col min="28" max="28" width="12.140625" style="772" customWidth="1"/>
    <col min="29" max="29" width="15.28515625" style="358" hidden="1" customWidth="1"/>
    <col min="30" max="30" width="14.28515625" style="6" hidden="1" customWidth="1"/>
    <col min="31" max="31" width="13.7109375" style="6" hidden="1" customWidth="1"/>
    <col min="32" max="32" width="18.140625" style="6" hidden="1" customWidth="1"/>
    <col min="33" max="33" width="14.7109375" style="6" hidden="1" customWidth="1"/>
    <col min="34" max="35" width="10.28515625" style="6" hidden="1" customWidth="1"/>
    <col min="36" max="36" width="12.85546875" style="6" hidden="1" customWidth="1"/>
    <col min="37" max="37" width="15.42578125" style="6" hidden="1" customWidth="1"/>
    <col min="38" max="40" width="10.28515625" style="6" hidden="1" customWidth="1"/>
    <col min="41" max="41" width="17.7109375" style="6" hidden="1" customWidth="1"/>
    <col min="42" max="50" width="10.28515625" style="6" hidden="1" customWidth="1"/>
    <col min="51" max="180" width="10.28515625" style="6" customWidth="1"/>
    <col min="181" max="181" width="4.7109375" style="6" customWidth="1"/>
    <col min="182" max="182" width="37" style="6" customWidth="1"/>
    <col min="183" max="185" width="9.5703125" style="6" customWidth="1"/>
    <col min="186" max="186" width="14.140625" style="6" customWidth="1"/>
    <col min="187" max="16384" width="10.42578125" style="6"/>
  </cols>
  <sheetData>
    <row r="1" spans="1:42" s="359" customFormat="1" ht="71.25" customHeight="1">
      <c r="A1" s="355"/>
      <c r="B1" s="1125"/>
      <c r="C1" s="1125"/>
      <c r="D1" s="1125"/>
      <c r="E1" s="356"/>
      <c r="F1" s="356"/>
      <c r="G1" s="356"/>
      <c r="H1" s="356"/>
      <c r="I1" s="357"/>
      <c r="J1" s="356"/>
      <c r="K1" s="356"/>
      <c r="L1" s="356"/>
      <c r="M1" s="356"/>
      <c r="N1" s="356"/>
      <c r="O1" s="356"/>
      <c r="P1" s="356"/>
      <c r="Q1" s="356"/>
      <c r="R1" s="356"/>
      <c r="S1" s="356"/>
      <c r="T1" s="356"/>
      <c r="U1" s="356"/>
      <c r="V1" s="356"/>
      <c r="W1" s="795"/>
      <c r="X1" s="795"/>
      <c r="Y1" s="1131" t="s">
        <v>1866</v>
      </c>
      <c r="Z1" s="1131"/>
      <c r="AA1" s="1131"/>
      <c r="AB1" s="1131"/>
      <c r="AC1" s="358"/>
    </row>
    <row r="2" spans="1:42" ht="30.75" customHeight="1">
      <c r="A2" s="1126" t="s">
        <v>1868</v>
      </c>
      <c r="B2" s="1126"/>
      <c r="C2" s="1126"/>
      <c r="D2" s="1126"/>
      <c r="E2" s="1126"/>
      <c r="F2" s="1126"/>
      <c r="G2" s="1126"/>
      <c r="H2" s="1126"/>
      <c r="I2" s="1126"/>
      <c r="J2" s="1126"/>
      <c r="K2" s="1126"/>
      <c r="L2" s="1126"/>
      <c r="M2" s="1126"/>
      <c r="N2" s="1126"/>
      <c r="O2" s="1126"/>
      <c r="P2" s="1126"/>
      <c r="Q2" s="1126"/>
      <c r="R2" s="1126"/>
      <c r="S2" s="1126"/>
      <c r="T2" s="1126"/>
      <c r="U2" s="1126"/>
      <c r="V2" s="1126"/>
      <c r="W2" s="1126"/>
      <c r="X2" s="1126"/>
      <c r="Y2" s="1126"/>
      <c r="Z2" s="1126"/>
      <c r="AA2" s="1126"/>
      <c r="AB2" s="1126"/>
      <c r="AK2" s="360">
        <f>+AK3+AK4+AK5+W12+W1003+W996+468000+1</f>
        <v>10702392.0595</v>
      </c>
      <c r="AL2" s="361">
        <f>+AK2-W11</f>
        <v>-189999.99998842366</v>
      </c>
      <c r="AM2" s="6">
        <v>7</v>
      </c>
      <c r="AN2" s="6" t="s">
        <v>1823</v>
      </c>
      <c r="AO2" s="360">
        <f>+W12+W1003+468000+W996</f>
        <v>2013345</v>
      </c>
      <c r="AP2" s="6" t="s">
        <v>1825</v>
      </c>
    </row>
    <row r="3" spans="1:42" ht="21" customHeight="1">
      <c r="A3" s="1127" t="s">
        <v>1658</v>
      </c>
      <c r="B3" s="1127"/>
      <c r="C3" s="1127"/>
      <c r="D3" s="1127"/>
      <c r="E3" s="1127"/>
      <c r="F3" s="1127"/>
      <c r="G3" s="1127"/>
      <c r="H3" s="1127"/>
      <c r="I3" s="1127"/>
      <c r="J3" s="1127"/>
      <c r="K3" s="1127"/>
      <c r="L3" s="1127"/>
      <c r="M3" s="1127"/>
      <c r="N3" s="1127"/>
      <c r="O3" s="1127"/>
      <c r="P3" s="1127"/>
      <c r="Q3" s="1127"/>
      <c r="R3" s="1127"/>
      <c r="S3" s="1127"/>
      <c r="T3" s="1127"/>
      <c r="U3" s="1127"/>
      <c r="V3" s="1127"/>
      <c r="W3" s="1127"/>
      <c r="X3" s="1127"/>
      <c r="Y3" s="1127"/>
      <c r="Z3" s="1127"/>
      <c r="AA3" s="1127"/>
      <c r="AB3" s="1127"/>
      <c r="AK3" s="6">
        <f>22758-0.9405</f>
        <v>22757.059499999999</v>
      </c>
      <c r="AL3" s="6" t="s">
        <v>1820</v>
      </c>
      <c r="AM3" s="6">
        <v>1</v>
      </c>
      <c r="AN3" s="6" t="s">
        <v>1822</v>
      </c>
      <c r="AO3" s="360">
        <f>+AO2+AK3+AK4+AK5</f>
        <v>10702391.0595</v>
      </c>
    </row>
    <row r="4" spans="1:42" ht="21" customHeight="1">
      <c r="A4" s="1123" t="s">
        <v>1881</v>
      </c>
      <c r="B4" s="1123"/>
      <c r="C4" s="1123"/>
      <c r="D4" s="1123"/>
      <c r="E4" s="1123"/>
      <c r="F4" s="1123"/>
      <c r="G4" s="1123"/>
      <c r="H4" s="1123"/>
      <c r="I4" s="1123"/>
      <c r="J4" s="1123"/>
      <c r="K4" s="1123"/>
      <c r="L4" s="1123"/>
      <c r="M4" s="1123"/>
      <c r="N4" s="1123"/>
      <c r="O4" s="1123"/>
      <c r="P4" s="1123"/>
      <c r="Q4" s="1123"/>
      <c r="R4" s="1123"/>
      <c r="S4" s="1123"/>
      <c r="T4" s="1123"/>
      <c r="U4" s="1123"/>
      <c r="V4" s="1123"/>
      <c r="W4" s="1123"/>
      <c r="X4" s="1123"/>
      <c r="Y4" s="1123"/>
      <c r="Z4" s="1123"/>
      <c r="AA4" s="1123"/>
      <c r="AB4" s="1123"/>
      <c r="AE4" s="119">
        <f>+W11+'PL 02'!W11+'PL 03'!W11+'PL 05'!Y9</f>
        <v>13938202.059488423</v>
      </c>
      <c r="AF4" s="119"/>
      <c r="AJ4" s="119"/>
      <c r="AK4" s="362">
        <v>8604809</v>
      </c>
      <c r="AL4" s="6" t="s">
        <v>685</v>
      </c>
      <c r="AM4" s="6">
        <v>271</v>
      </c>
      <c r="AN4" s="6" t="s">
        <v>1822</v>
      </c>
    </row>
    <row r="5" spans="1:42" ht="27" customHeight="1">
      <c r="A5" s="363"/>
      <c r="B5" s="364"/>
      <c r="C5" s="363"/>
      <c r="D5" s="364"/>
      <c r="E5" s="364"/>
      <c r="F5" s="364"/>
      <c r="G5" s="364"/>
      <c r="H5" s="364"/>
      <c r="I5" s="363"/>
      <c r="J5" s="364"/>
      <c r="K5" s="364"/>
      <c r="L5" s="364"/>
      <c r="M5" s="364"/>
      <c r="N5" s="364"/>
      <c r="O5" s="364"/>
      <c r="P5" s="364"/>
      <c r="Q5" s="364"/>
      <c r="R5" s="364"/>
      <c r="S5" s="364"/>
      <c r="T5" s="364"/>
      <c r="U5" s="364"/>
      <c r="V5" s="364"/>
      <c r="W5" s="1129" t="s">
        <v>1</v>
      </c>
      <c r="X5" s="1129"/>
      <c r="Y5" s="1129"/>
      <c r="Z5" s="1129"/>
      <c r="AA5" s="1129"/>
      <c r="AB5" s="365"/>
      <c r="AE5" s="119">
        <f>+W11+'PL 05'!Y9+'PL 03'!W11+'PL 02'!W11</f>
        <v>13938202.059488423</v>
      </c>
      <c r="AF5" s="119">
        <f>+AE5-'01'!J9</f>
        <v>5.948842316865921E-2</v>
      </c>
      <c r="AG5" s="119">
        <f>+AE5-'01'!J9</f>
        <v>5.948842316865921E-2</v>
      </c>
      <c r="AK5" s="362">
        <v>61480</v>
      </c>
      <c r="AL5" s="6" t="s">
        <v>1308</v>
      </c>
      <c r="AM5" s="6">
        <v>85</v>
      </c>
      <c r="AN5" s="6" t="s">
        <v>1822</v>
      </c>
    </row>
    <row r="6" spans="1:42" s="358" customFormat="1" ht="22.5" customHeight="1">
      <c r="A6" s="1128" t="s">
        <v>2</v>
      </c>
      <c r="B6" s="1122" t="s">
        <v>24</v>
      </c>
      <c r="C6" s="1122" t="s">
        <v>1387</v>
      </c>
      <c r="D6" s="1122" t="s">
        <v>1388</v>
      </c>
      <c r="E6" s="1122" t="s">
        <v>1389</v>
      </c>
      <c r="F6" s="1122" t="s">
        <v>25</v>
      </c>
      <c r="G6" s="1122" t="s">
        <v>26</v>
      </c>
      <c r="H6" s="1122" t="s">
        <v>27</v>
      </c>
      <c r="I6" s="1122" t="s">
        <v>28</v>
      </c>
      <c r="J6" s="1122"/>
      <c r="K6" s="1122"/>
      <c r="L6" s="1122"/>
      <c r="M6" s="1122"/>
      <c r="N6" s="1122" t="s">
        <v>59</v>
      </c>
      <c r="O6" s="1122"/>
      <c r="P6" s="1122"/>
      <c r="Q6" s="1122"/>
      <c r="R6" s="1122" t="s">
        <v>60</v>
      </c>
      <c r="S6" s="1122"/>
      <c r="T6" s="1122"/>
      <c r="U6" s="1122"/>
      <c r="V6" s="1122" t="s">
        <v>1646</v>
      </c>
      <c r="W6" s="1130" t="s">
        <v>61</v>
      </c>
      <c r="X6" s="1130"/>
      <c r="Y6" s="1130"/>
      <c r="Z6" s="1130"/>
      <c r="AA6" s="1130"/>
      <c r="AB6" s="1122" t="s">
        <v>1243</v>
      </c>
      <c r="AE6" s="366" t="e">
        <f>+W11+306000+#REF!</f>
        <v>#REF!</v>
      </c>
      <c r="AF6" s="366" t="e">
        <f>+AE6-'01'!J10</f>
        <v>#REF!</v>
      </c>
      <c r="AG6" s="367"/>
      <c r="AH6" s="367"/>
      <c r="AK6" s="368">
        <v>9157047</v>
      </c>
    </row>
    <row r="7" spans="1:42" s="358" customFormat="1" ht="22.5" customHeight="1">
      <c r="A7" s="1128"/>
      <c r="B7" s="1122"/>
      <c r="C7" s="1122"/>
      <c r="D7" s="1122"/>
      <c r="E7" s="1122"/>
      <c r="F7" s="1122"/>
      <c r="G7" s="1122"/>
      <c r="H7" s="1122"/>
      <c r="I7" s="1122" t="s">
        <v>29</v>
      </c>
      <c r="J7" s="1122" t="s">
        <v>30</v>
      </c>
      <c r="K7" s="1122"/>
      <c r="L7" s="1122"/>
      <c r="M7" s="1122"/>
      <c r="N7" s="1122"/>
      <c r="O7" s="1122"/>
      <c r="P7" s="1122"/>
      <c r="Q7" s="1122"/>
      <c r="R7" s="1122"/>
      <c r="S7" s="1122"/>
      <c r="T7" s="1122"/>
      <c r="U7" s="1122"/>
      <c r="V7" s="1122"/>
      <c r="W7" s="1130"/>
      <c r="X7" s="1130"/>
      <c r="Y7" s="1130"/>
      <c r="Z7" s="1130"/>
      <c r="AA7" s="1130"/>
      <c r="AB7" s="1122"/>
      <c r="AE7" s="366">
        <f>+AE11-AE9</f>
        <v>0</v>
      </c>
      <c r="AF7" s="366">
        <f>+AF11-AF9</f>
        <v>0.25099999969825149</v>
      </c>
      <c r="AG7" s="366">
        <f>+AG11-AG9-AG8</f>
        <v>-0.31048842519521713</v>
      </c>
      <c r="AH7" s="367"/>
      <c r="AK7" s="369">
        <f>+AK6+W12+W1003+W996</f>
        <v>10702392</v>
      </c>
      <c r="AM7" s="358">
        <v>358</v>
      </c>
      <c r="AN7" s="358" t="s">
        <v>1822</v>
      </c>
      <c r="AO7" s="370" t="s">
        <v>1858</v>
      </c>
    </row>
    <row r="8" spans="1:42" s="358" customFormat="1" ht="22.5" customHeight="1">
      <c r="A8" s="1128"/>
      <c r="B8" s="1122"/>
      <c r="C8" s="1122"/>
      <c r="D8" s="1122"/>
      <c r="E8" s="1122"/>
      <c r="F8" s="1122"/>
      <c r="G8" s="1122"/>
      <c r="H8" s="1122"/>
      <c r="I8" s="1122"/>
      <c r="J8" s="1122" t="s">
        <v>31</v>
      </c>
      <c r="K8" s="1122" t="s">
        <v>32</v>
      </c>
      <c r="L8" s="1122"/>
      <c r="M8" s="1122"/>
      <c r="N8" s="1122" t="s">
        <v>4</v>
      </c>
      <c r="O8" s="1122" t="s">
        <v>32</v>
      </c>
      <c r="P8" s="1122"/>
      <c r="Q8" s="1122"/>
      <c r="R8" s="1122" t="s">
        <v>4</v>
      </c>
      <c r="S8" s="1122" t="s">
        <v>32</v>
      </c>
      <c r="T8" s="1122"/>
      <c r="U8" s="1122"/>
      <c r="V8" s="1122"/>
      <c r="W8" s="1122" t="s">
        <v>4</v>
      </c>
      <c r="X8" s="1122" t="s">
        <v>1617</v>
      </c>
      <c r="Y8" s="1122" t="s">
        <v>1616</v>
      </c>
      <c r="Z8" s="1122" t="s">
        <v>1619</v>
      </c>
      <c r="AA8" s="1122" t="s">
        <v>1618</v>
      </c>
      <c r="AB8" s="1122"/>
      <c r="AE8" s="367"/>
      <c r="AF8" s="367"/>
      <c r="AG8" s="367"/>
      <c r="AH8" s="367"/>
      <c r="AK8" s="369">
        <f>+W11-AK7</f>
        <v>190000.05948842317</v>
      </c>
      <c r="AM8" s="358">
        <v>7</v>
      </c>
      <c r="AN8" s="358" t="s">
        <v>1826</v>
      </c>
    </row>
    <row r="9" spans="1:42" s="358" customFormat="1" ht="59.25" customHeight="1">
      <c r="A9" s="1128"/>
      <c r="B9" s="1122"/>
      <c r="C9" s="1122"/>
      <c r="D9" s="1122"/>
      <c r="E9" s="1122"/>
      <c r="F9" s="1122"/>
      <c r="G9" s="1122"/>
      <c r="H9" s="1122"/>
      <c r="I9" s="1122"/>
      <c r="J9" s="1122"/>
      <c r="K9" s="810" t="s">
        <v>33</v>
      </c>
      <c r="L9" s="810" t="s">
        <v>34</v>
      </c>
      <c r="M9" s="810" t="s">
        <v>35</v>
      </c>
      <c r="N9" s="1122"/>
      <c r="O9" s="810" t="s">
        <v>33</v>
      </c>
      <c r="P9" s="810" t="s">
        <v>34</v>
      </c>
      <c r="Q9" s="810" t="s">
        <v>35</v>
      </c>
      <c r="R9" s="1122"/>
      <c r="S9" s="810" t="s">
        <v>33</v>
      </c>
      <c r="T9" s="810" t="s">
        <v>34</v>
      </c>
      <c r="U9" s="810" t="s">
        <v>35</v>
      </c>
      <c r="V9" s="1122"/>
      <c r="W9" s="1122"/>
      <c r="X9" s="1122"/>
      <c r="Y9" s="1122"/>
      <c r="Z9" s="1122"/>
      <c r="AA9" s="1122"/>
      <c r="AB9" s="1122"/>
      <c r="AE9" s="366"/>
      <c r="AF9" s="367">
        <f>+'PL 05'!Y9-'PL 05'!Y10-'PL 05'!Y14</f>
        <v>826255</v>
      </c>
      <c r="AG9" s="367">
        <f>+'PL 05'!Y10+'PL 05'!Y14</f>
        <v>211000</v>
      </c>
      <c r="AH9" s="367"/>
    </row>
    <row r="10" spans="1:42" ht="18" customHeight="1">
      <c r="A10" s="372" t="s">
        <v>21</v>
      </c>
      <c r="B10" s="373" t="s">
        <v>22</v>
      </c>
      <c r="C10" s="374"/>
      <c r="D10" s="373"/>
      <c r="E10" s="373"/>
      <c r="F10" s="372">
        <v>1</v>
      </c>
      <c r="G10" s="372">
        <v>2</v>
      </c>
      <c r="H10" s="372">
        <v>3</v>
      </c>
      <c r="I10" s="372">
        <v>4</v>
      </c>
      <c r="J10" s="372">
        <v>5</v>
      </c>
      <c r="K10" s="372">
        <v>6</v>
      </c>
      <c r="L10" s="372">
        <v>7</v>
      </c>
      <c r="M10" s="372">
        <v>8</v>
      </c>
      <c r="N10" s="372">
        <v>9</v>
      </c>
      <c r="O10" s="372">
        <v>10</v>
      </c>
      <c r="P10" s="372">
        <v>11</v>
      </c>
      <c r="Q10" s="372">
        <v>12</v>
      </c>
      <c r="R10" s="372">
        <v>13</v>
      </c>
      <c r="S10" s="372">
        <v>14</v>
      </c>
      <c r="T10" s="372">
        <v>15</v>
      </c>
      <c r="U10" s="372">
        <v>16</v>
      </c>
      <c r="V10" s="372">
        <v>17</v>
      </c>
      <c r="W10" s="372">
        <v>18</v>
      </c>
      <c r="X10" s="372">
        <v>19</v>
      </c>
      <c r="Y10" s="372">
        <v>20</v>
      </c>
      <c r="Z10" s="372">
        <v>21</v>
      </c>
      <c r="AA10" s="372">
        <v>22</v>
      </c>
      <c r="AB10" s="372">
        <v>23</v>
      </c>
      <c r="AE10" s="375" t="s">
        <v>1710</v>
      </c>
      <c r="AF10" s="375" t="s">
        <v>1711</v>
      </c>
      <c r="AG10" s="375" t="s">
        <v>1712</v>
      </c>
      <c r="AH10" s="375" t="s">
        <v>1713</v>
      </c>
    </row>
    <row r="11" spans="1:42" ht="23.25" customHeight="1">
      <c r="A11" s="376"/>
      <c r="B11" s="809" t="s">
        <v>4</v>
      </c>
      <c r="C11" s="377"/>
      <c r="D11" s="377"/>
      <c r="E11" s="377"/>
      <c r="F11" s="378"/>
      <c r="G11" s="378"/>
      <c r="H11" s="378"/>
      <c r="I11" s="378"/>
      <c r="J11" s="379">
        <f t="shared" ref="J11:V11" si="0">+J12+J13+J152+J159+J166+J186+J209+J280+J287+J305+J945+J982+J997+J1003</f>
        <v>116118879.478375</v>
      </c>
      <c r="K11" s="379">
        <f t="shared" si="0"/>
        <v>2130872</v>
      </c>
      <c r="L11" s="379">
        <f t="shared" si="0"/>
        <v>18648144</v>
      </c>
      <c r="M11" s="379">
        <f t="shared" si="0"/>
        <v>40996171.478375003</v>
      </c>
      <c r="N11" s="379">
        <f t="shared" si="0"/>
        <v>11739794.838757003</v>
      </c>
      <c r="O11" s="379">
        <f t="shared" si="0"/>
        <v>396951</v>
      </c>
      <c r="P11" s="379">
        <f t="shared" si="0"/>
        <v>4672785.9526380002</v>
      </c>
      <c r="Q11" s="379">
        <f t="shared" si="0"/>
        <v>6668912.8861190006</v>
      </c>
      <c r="R11" s="379">
        <f t="shared" si="0"/>
        <v>18326384.884367999</v>
      </c>
      <c r="S11" s="379">
        <f t="shared" si="0"/>
        <v>416336</v>
      </c>
      <c r="T11" s="379">
        <f t="shared" si="0"/>
        <v>8242491.1219999995</v>
      </c>
      <c r="U11" s="379">
        <f t="shared" si="0"/>
        <v>9667557.762368001</v>
      </c>
      <c r="V11" s="379">
        <f t="shared" si="0"/>
        <v>33073429.278488427</v>
      </c>
      <c r="W11" s="379">
        <f>+W12+W13+W152+W159+W166+W186+W209+W280+W287+W305+W945+W982+W997+W1003+W1008</f>
        <v>10892392.059488423</v>
      </c>
      <c r="X11" s="379">
        <f t="shared" ref="X11:Z11" si="1">+X12+X13+X152+X159+X166+X186+X209+X280+X287+X305+X945+X982+X997+X1003+X1008</f>
        <v>1312500</v>
      </c>
      <c r="Y11" s="379">
        <f t="shared" si="1"/>
        <v>3852891.7490000003</v>
      </c>
      <c r="Z11" s="379">
        <f t="shared" si="1"/>
        <v>5589000.3104884252</v>
      </c>
      <c r="AA11" s="379">
        <f>+AA12+AA13+AA152+AA159+AA166+AA186+AA209+AA280+AA287+AA305+AA945+AA982+AA997+AA1003+AA1008</f>
        <v>138000</v>
      </c>
      <c r="AB11" s="378"/>
      <c r="AC11" s="380">
        <f>+W11-X11-Y11-Z11</f>
        <v>137999.99999999814</v>
      </c>
      <c r="AD11" s="119"/>
      <c r="AE11" s="381">
        <f>1312500-X11</f>
        <v>0</v>
      </c>
      <c r="AF11" s="381">
        <f>4679147-Y11</f>
        <v>826255.2509999997</v>
      </c>
      <c r="AG11" s="381">
        <f>5800000-Z11</f>
        <v>210999.6895115748</v>
      </c>
      <c r="AH11" s="382">
        <f>138000-AA11</f>
        <v>0</v>
      </c>
    </row>
    <row r="12" spans="1:42" s="388" customFormat="1" ht="68.25" customHeight="1">
      <c r="A12" s="383" t="s">
        <v>36</v>
      </c>
      <c r="B12" s="384" t="s">
        <v>1242</v>
      </c>
      <c r="C12" s="303"/>
      <c r="D12" s="385"/>
      <c r="E12" s="385"/>
      <c r="F12" s="385"/>
      <c r="G12" s="385"/>
      <c r="H12" s="385"/>
      <c r="I12" s="383"/>
      <c r="J12" s="385"/>
      <c r="K12" s="385"/>
      <c r="L12" s="385"/>
      <c r="M12" s="385"/>
      <c r="N12" s="385"/>
      <c r="O12" s="385"/>
      <c r="P12" s="385"/>
      <c r="Q12" s="385"/>
      <c r="R12" s="385"/>
      <c r="S12" s="385"/>
      <c r="T12" s="385"/>
      <c r="U12" s="385"/>
      <c r="V12" s="385">
        <v>7200000</v>
      </c>
      <c r="W12" s="386">
        <f>SUM(X12:AA12)</f>
        <v>500000</v>
      </c>
      <c r="X12" s="386"/>
      <c r="Y12" s="386"/>
      <c r="Z12" s="386">
        <f>92921+407079</f>
        <v>500000</v>
      </c>
      <c r="AA12" s="386"/>
      <c r="AB12" s="387" t="s">
        <v>1654</v>
      </c>
      <c r="AC12" s="380">
        <f t="shared" ref="AC12:AC13" si="2">+W12-X12-Y12-Z12</f>
        <v>0</v>
      </c>
      <c r="AJ12" s="388" t="s">
        <v>1824</v>
      </c>
    </row>
    <row r="13" spans="1:42" s="903" customFormat="1" ht="35.25" customHeight="1">
      <c r="A13" s="895" t="s">
        <v>40</v>
      </c>
      <c r="B13" s="896" t="s">
        <v>182</v>
      </c>
      <c r="C13" s="897"/>
      <c r="D13" s="896"/>
      <c r="E13" s="896"/>
      <c r="F13" s="898"/>
      <c r="G13" s="898"/>
      <c r="H13" s="898"/>
      <c r="I13" s="899"/>
      <c r="J13" s="900">
        <f>+J14+J26+J43+J51+J58+J64+J76+J84+J94+J101+J115+J123+J130+J138+J146</f>
        <v>1476149.3030000001</v>
      </c>
      <c r="K13" s="900">
        <f t="shared" ref="K13" si="3">+K14+K26+K43+K51+K58+K64+K76+K84+K94+K101+K115+K123+K130+K138+K146</f>
        <v>0</v>
      </c>
      <c r="L13" s="900">
        <f t="shared" ref="L13" si="4">+L14+L26+L43+L51+L58+L64+L76+L84+L94+L101+L115+L123+L130+L138+L146</f>
        <v>379692</v>
      </c>
      <c r="M13" s="900">
        <f t="shared" ref="M13" si="5">+M14+M26+M43+M51+M58+M64+M76+M84+M94+M101+M115+M123+M130+M138+M146</f>
        <v>1096457.3029999998</v>
      </c>
      <c r="N13" s="900">
        <f t="shared" ref="N13" si="6">+N14+N26+N43+N51+N58+N64+N76+N84+N94+N101+N115+N123+N130+N138+N146</f>
        <v>677850.04</v>
      </c>
      <c r="O13" s="900">
        <f t="shared" ref="O13" si="7">+O14+O26+O43+O51+O58+O64+O76+O84+O94+O101+O115+O123+O130+O138+O146</f>
        <v>0</v>
      </c>
      <c r="P13" s="900">
        <f t="shared" ref="P13" si="8">+P14+P26+P43+P51+P58+P64+P76+P84+P94+P101+P115+P123+P130+P138+P146</f>
        <v>114000</v>
      </c>
      <c r="Q13" s="900">
        <f t="shared" ref="Q13" si="9">+Q14+Q26+Q43+Q51+Q58+Q64+Q76+Q84+Q94+Q101+Q115+Q123+Q130+Q138+Q146</f>
        <v>563850.04</v>
      </c>
      <c r="R13" s="900">
        <f t="shared" ref="R13" si="10">+R14+R26+R43+R51+R58+R64+R76+R84+R94+R101+R115+R123+R130+R138+R146</f>
        <v>666280</v>
      </c>
      <c r="S13" s="900">
        <f t="shared" ref="S13" si="11">+S14+S26+S43+S51+S58+S64+S76+S84+S94+S101+S115+S123+S130+S138+S146</f>
        <v>0</v>
      </c>
      <c r="T13" s="900">
        <f t="shared" ref="T13" si="12">+T14+T26+T43+T51+T58+T64+T76+T84+T94+T101+T115+T123+T130+T138+T146</f>
        <v>114000</v>
      </c>
      <c r="U13" s="900">
        <f t="shared" ref="U13" si="13">+U14+U26+U43+U51+U58+U64+U76+U84+U94+U101+U115+U123+U130+U138+U146</f>
        <v>552280</v>
      </c>
      <c r="V13" s="900">
        <f t="shared" ref="V13" si="14">+V14+V26+V43+V51+V58+V64+V76+V84+V94+V101+V115+V123+V130+V138+V146</f>
        <v>483544.94</v>
      </c>
      <c r="W13" s="900">
        <f>+W14+W26+W43+W51+W58+W64+W76+W84+W94+W101+W115+W123+W130+W138+W146</f>
        <v>412118</v>
      </c>
      <c r="X13" s="900">
        <f t="shared" ref="X13" si="15">+X14+X26+X43+X51+X58+X64+X76+X84+X94+X101+X115+X123+X130+X138+X146</f>
        <v>7943</v>
      </c>
      <c r="Y13" s="900">
        <f t="shared" ref="Y13" si="16">+Y14+Y26+Y43+Y51+Y58+Y64+Y76+Y84+Y94+Y101+Y115+Y123+Y130+Y138+Y146</f>
        <v>0</v>
      </c>
      <c r="Z13" s="900">
        <f t="shared" ref="Z13" si="17">+Z14+Z26+Z43+Z51+Z58+Z64+Z76+Z84+Z94+Z101+Z115+Z123+Z130+Z138+Z146</f>
        <v>404175</v>
      </c>
      <c r="AA13" s="900">
        <f t="shared" ref="AA13" si="18">+AA14+AA26+AA43+AA51+AA58+AA64+AA76+AA84+AA94+AA101+AA115+AA123+AA130+AA138+AA146</f>
        <v>0</v>
      </c>
      <c r="AB13" s="901"/>
      <c r="AC13" s="902">
        <f t="shared" si="2"/>
        <v>0</v>
      </c>
    </row>
    <row r="14" spans="1:42" s="903" customFormat="1" ht="33.75" customHeight="1">
      <c r="A14" s="895">
        <v>1</v>
      </c>
      <c r="B14" s="896" t="s">
        <v>201</v>
      </c>
      <c r="C14" s="904" t="s">
        <v>201</v>
      </c>
      <c r="D14" s="898"/>
      <c r="E14" s="898"/>
      <c r="F14" s="898"/>
      <c r="G14" s="898"/>
      <c r="H14" s="898"/>
      <c r="I14" s="899"/>
      <c r="J14" s="900">
        <f t="shared" ref="J14:Z14" si="19">+J15</f>
        <v>187949.83499999999</v>
      </c>
      <c r="K14" s="900">
        <f t="shared" si="19"/>
        <v>0</v>
      </c>
      <c r="L14" s="900">
        <f t="shared" si="19"/>
        <v>0</v>
      </c>
      <c r="M14" s="900">
        <f t="shared" si="19"/>
        <v>187949.83499999999</v>
      </c>
      <c r="N14" s="900">
        <f t="shared" si="19"/>
        <v>75207</v>
      </c>
      <c r="O14" s="900">
        <f t="shared" si="19"/>
        <v>0</v>
      </c>
      <c r="P14" s="900">
        <f t="shared" si="19"/>
        <v>0</v>
      </c>
      <c r="Q14" s="900">
        <f t="shared" si="19"/>
        <v>75207</v>
      </c>
      <c r="R14" s="900">
        <f t="shared" si="19"/>
        <v>75207</v>
      </c>
      <c r="S14" s="900">
        <f t="shared" si="19"/>
        <v>0</v>
      </c>
      <c r="T14" s="900">
        <f t="shared" si="19"/>
        <v>0</v>
      </c>
      <c r="U14" s="900">
        <f t="shared" si="19"/>
        <v>75207</v>
      </c>
      <c r="V14" s="900">
        <f t="shared" si="19"/>
        <v>100418</v>
      </c>
      <c r="W14" s="900">
        <f>+W15</f>
        <v>100418</v>
      </c>
      <c r="X14" s="900">
        <f t="shared" si="19"/>
        <v>0</v>
      </c>
      <c r="Y14" s="900">
        <f t="shared" si="19"/>
        <v>0</v>
      </c>
      <c r="Z14" s="900">
        <f t="shared" si="19"/>
        <v>100418</v>
      </c>
      <c r="AA14" s="900">
        <f>+AA15</f>
        <v>0</v>
      </c>
      <c r="AB14" s="901"/>
      <c r="AC14" s="902">
        <f>+W14-X14-Y14-Z14</f>
        <v>0</v>
      </c>
    </row>
    <row r="15" spans="1:42" s="911" customFormat="1" ht="25.5" customHeight="1">
      <c r="A15" s="905" t="s">
        <v>1305</v>
      </c>
      <c r="B15" s="906" t="s">
        <v>38</v>
      </c>
      <c r="C15" s="904" t="s">
        <v>201</v>
      </c>
      <c r="D15" s="907"/>
      <c r="E15" s="907"/>
      <c r="F15" s="908"/>
      <c r="G15" s="908"/>
      <c r="H15" s="908"/>
      <c r="I15" s="907"/>
      <c r="J15" s="909">
        <f t="shared" ref="J15:AB15" si="20">+J18+J25+J16</f>
        <v>187949.83499999999</v>
      </c>
      <c r="K15" s="909">
        <f t="shared" si="20"/>
        <v>0</v>
      </c>
      <c r="L15" s="909">
        <f t="shared" si="20"/>
        <v>0</v>
      </c>
      <c r="M15" s="909">
        <f t="shared" si="20"/>
        <v>187949.83499999999</v>
      </c>
      <c r="N15" s="909">
        <f t="shared" si="20"/>
        <v>75207</v>
      </c>
      <c r="O15" s="909">
        <f t="shared" si="20"/>
        <v>0</v>
      </c>
      <c r="P15" s="909">
        <f t="shared" si="20"/>
        <v>0</v>
      </c>
      <c r="Q15" s="909">
        <f t="shared" si="20"/>
        <v>75207</v>
      </c>
      <c r="R15" s="909">
        <f t="shared" si="20"/>
        <v>75207</v>
      </c>
      <c r="S15" s="909">
        <f t="shared" si="20"/>
        <v>0</v>
      </c>
      <c r="T15" s="909">
        <f t="shared" si="20"/>
        <v>0</v>
      </c>
      <c r="U15" s="909">
        <f t="shared" si="20"/>
        <v>75207</v>
      </c>
      <c r="V15" s="909">
        <f t="shared" si="20"/>
        <v>100418</v>
      </c>
      <c r="W15" s="909">
        <f>+W18+W25+W16</f>
        <v>100418</v>
      </c>
      <c r="X15" s="909">
        <f t="shared" si="20"/>
        <v>0</v>
      </c>
      <c r="Y15" s="909">
        <f t="shared" si="20"/>
        <v>0</v>
      </c>
      <c r="Z15" s="909">
        <f t="shared" si="20"/>
        <v>100418</v>
      </c>
      <c r="AA15" s="909">
        <f t="shared" si="20"/>
        <v>0</v>
      </c>
      <c r="AB15" s="910">
        <f t="shared" si="20"/>
        <v>0</v>
      </c>
      <c r="AC15" s="902">
        <f t="shared" ref="AC15:AC78" si="21">+W15-X15-Y15-Z15</f>
        <v>0</v>
      </c>
    </row>
    <row r="16" spans="1:42" s="911" customFormat="1" ht="47.25" customHeight="1">
      <c r="A16" s="912" t="s">
        <v>39</v>
      </c>
      <c r="B16" s="913" t="s">
        <v>1254</v>
      </c>
      <c r="C16" s="904" t="s">
        <v>201</v>
      </c>
      <c r="D16" s="907"/>
      <c r="E16" s="907"/>
      <c r="F16" s="908"/>
      <c r="G16" s="908"/>
      <c r="H16" s="908"/>
      <c r="I16" s="907"/>
      <c r="J16" s="914">
        <f>+J17</f>
        <v>9248</v>
      </c>
      <c r="K16" s="914">
        <f t="shared" ref="K16:AA16" si="22">+K17</f>
        <v>0</v>
      </c>
      <c r="L16" s="914">
        <f t="shared" si="22"/>
        <v>0</v>
      </c>
      <c r="M16" s="914">
        <f t="shared" si="22"/>
        <v>9248</v>
      </c>
      <c r="N16" s="914">
        <f t="shared" si="22"/>
        <v>0</v>
      </c>
      <c r="O16" s="914">
        <f t="shared" si="22"/>
        <v>0</v>
      </c>
      <c r="P16" s="914">
        <f t="shared" si="22"/>
        <v>0</v>
      </c>
      <c r="Q16" s="914">
        <f t="shared" si="22"/>
        <v>0</v>
      </c>
      <c r="R16" s="914">
        <f t="shared" si="22"/>
        <v>0</v>
      </c>
      <c r="S16" s="914">
        <f t="shared" si="22"/>
        <v>0</v>
      </c>
      <c r="T16" s="914">
        <f t="shared" si="22"/>
        <v>0</v>
      </c>
      <c r="U16" s="914">
        <f t="shared" si="22"/>
        <v>0</v>
      </c>
      <c r="V16" s="914">
        <f t="shared" si="22"/>
        <v>420</v>
      </c>
      <c r="W16" s="914">
        <f t="shared" si="22"/>
        <v>420</v>
      </c>
      <c r="X16" s="914">
        <f t="shared" si="22"/>
        <v>0</v>
      </c>
      <c r="Y16" s="914">
        <f t="shared" si="22"/>
        <v>0</v>
      </c>
      <c r="Z16" s="914">
        <f t="shared" si="22"/>
        <v>420</v>
      </c>
      <c r="AA16" s="914">
        <f t="shared" si="22"/>
        <v>0</v>
      </c>
      <c r="AB16" s="915"/>
      <c r="AC16" s="902">
        <f t="shared" si="21"/>
        <v>0</v>
      </c>
    </row>
    <row r="17" spans="1:50" s="911" customFormat="1" ht="61.5" customHeight="1">
      <c r="A17" s="916" t="s">
        <v>144</v>
      </c>
      <c r="B17" s="917" t="s">
        <v>1693</v>
      </c>
      <c r="C17" s="904" t="s">
        <v>201</v>
      </c>
      <c r="D17" s="918">
        <v>7954245</v>
      </c>
      <c r="E17" s="919" t="s">
        <v>192</v>
      </c>
      <c r="F17" s="904" t="s">
        <v>470</v>
      </c>
      <c r="G17" s="920" t="s">
        <v>186</v>
      </c>
      <c r="H17" s="908"/>
      <c r="I17" s="904" t="s">
        <v>1694</v>
      </c>
      <c r="J17" s="921">
        <v>9248</v>
      </c>
      <c r="K17" s="914"/>
      <c r="L17" s="914"/>
      <c r="M17" s="922">
        <v>9248</v>
      </c>
      <c r="N17" s="914">
        <v>0</v>
      </c>
      <c r="O17" s="914"/>
      <c r="P17" s="914"/>
      <c r="Q17" s="914">
        <v>0</v>
      </c>
      <c r="R17" s="914"/>
      <c r="S17" s="914"/>
      <c r="T17" s="914"/>
      <c r="U17" s="914"/>
      <c r="V17" s="914">
        <v>420</v>
      </c>
      <c r="W17" s="923">
        <f>SUM(X17:AA17)</f>
        <v>420</v>
      </c>
      <c r="X17" s="914"/>
      <c r="Y17" s="914"/>
      <c r="Z17" s="914">
        <v>420</v>
      </c>
      <c r="AA17" s="914"/>
      <c r="AB17" s="924" t="s">
        <v>1695</v>
      </c>
      <c r="AC17" s="902">
        <f t="shared" si="21"/>
        <v>0</v>
      </c>
      <c r="AJ17" s="925" t="s">
        <v>1308</v>
      </c>
    </row>
    <row r="18" spans="1:50" s="911" customFormat="1" ht="57" customHeight="1">
      <c r="A18" s="912" t="s">
        <v>467</v>
      </c>
      <c r="B18" s="926" t="s">
        <v>183</v>
      </c>
      <c r="C18" s="904" t="s">
        <v>201</v>
      </c>
      <c r="D18" s="907"/>
      <c r="E18" s="907"/>
      <c r="F18" s="908"/>
      <c r="G18" s="908"/>
      <c r="H18" s="908"/>
      <c r="I18" s="907"/>
      <c r="J18" s="914">
        <f t="shared" ref="J18:AA18" si="23">+SUM(J19:J24)</f>
        <v>178701.83499999999</v>
      </c>
      <c r="K18" s="914">
        <f t="shared" si="23"/>
        <v>0</v>
      </c>
      <c r="L18" s="914">
        <f t="shared" si="23"/>
        <v>0</v>
      </c>
      <c r="M18" s="914">
        <f t="shared" si="23"/>
        <v>178701.83499999999</v>
      </c>
      <c r="N18" s="914">
        <f t="shared" si="23"/>
        <v>75207</v>
      </c>
      <c r="O18" s="914">
        <f t="shared" si="23"/>
        <v>0</v>
      </c>
      <c r="P18" s="914">
        <f t="shared" si="23"/>
        <v>0</v>
      </c>
      <c r="Q18" s="914">
        <f t="shared" si="23"/>
        <v>75207</v>
      </c>
      <c r="R18" s="914">
        <f t="shared" si="23"/>
        <v>75207</v>
      </c>
      <c r="S18" s="914">
        <f t="shared" si="23"/>
        <v>0</v>
      </c>
      <c r="T18" s="914">
        <f t="shared" si="23"/>
        <v>0</v>
      </c>
      <c r="U18" s="914">
        <f t="shared" si="23"/>
        <v>75207</v>
      </c>
      <c r="V18" s="914">
        <f t="shared" si="23"/>
        <v>99998</v>
      </c>
      <c r="W18" s="914">
        <f>+SUM(W19:W24)</f>
        <v>99998</v>
      </c>
      <c r="X18" s="914">
        <f t="shared" si="23"/>
        <v>0</v>
      </c>
      <c r="Y18" s="914">
        <f t="shared" si="23"/>
        <v>0</v>
      </c>
      <c r="Z18" s="914">
        <f t="shared" si="23"/>
        <v>99998</v>
      </c>
      <c r="AA18" s="914">
        <f t="shared" si="23"/>
        <v>0</v>
      </c>
      <c r="AB18" s="915"/>
      <c r="AC18" s="902">
        <f t="shared" si="21"/>
        <v>0</v>
      </c>
    </row>
    <row r="19" spans="1:50" s="8" customFormat="1" ht="57" customHeight="1">
      <c r="A19" s="401" t="s">
        <v>144</v>
      </c>
      <c r="B19" s="402" t="s">
        <v>184</v>
      </c>
      <c r="C19" s="904" t="s">
        <v>201</v>
      </c>
      <c r="D19" s="904">
        <v>8078423</v>
      </c>
      <c r="E19" s="927" t="s">
        <v>185</v>
      </c>
      <c r="F19" s="13" t="s">
        <v>470</v>
      </c>
      <c r="G19" s="404" t="s">
        <v>186</v>
      </c>
      <c r="H19" s="405" t="s">
        <v>187</v>
      </c>
      <c r="I19" s="406" t="s">
        <v>188</v>
      </c>
      <c r="J19" s="17">
        <v>17815</v>
      </c>
      <c r="K19" s="44"/>
      <c r="L19" s="44"/>
      <c r="M19" s="44">
        <v>17815</v>
      </c>
      <c r="N19" s="407">
        <f t="shared" ref="N19:N24" si="24">SUM(O19:Q19)</f>
        <v>15882</v>
      </c>
      <c r="O19" s="407"/>
      <c r="P19" s="407"/>
      <c r="Q19" s="407">
        <v>15882</v>
      </c>
      <c r="R19" s="407">
        <f t="shared" ref="R19:R24" si="25">SUM(S19:U19)</f>
        <v>15882</v>
      </c>
      <c r="S19" s="407"/>
      <c r="T19" s="407"/>
      <c r="U19" s="407">
        <v>15882</v>
      </c>
      <c r="V19" s="407">
        <v>1900</v>
      </c>
      <c r="W19" s="44">
        <f>SUM(X19:AA19)</f>
        <v>1900</v>
      </c>
      <c r="X19" s="44"/>
      <c r="Y19" s="44"/>
      <c r="Z19" s="44">
        <v>1900</v>
      </c>
      <c r="AA19" s="44"/>
      <c r="AB19" s="408" t="s">
        <v>1622</v>
      </c>
      <c r="AC19" s="380">
        <f t="shared" si="21"/>
        <v>0</v>
      </c>
      <c r="AI19" s="903"/>
      <c r="AJ19" s="903" t="s">
        <v>685</v>
      </c>
      <c r="AK19" s="903"/>
      <c r="AL19" s="903"/>
      <c r="AM19" s="903"/>
      <c r="AN19" s="903"/>
      <c r="AO19" s="903"/>
      <c r="AP19" s="903"/>
      <c r="AQ19" s="903"/>
      <c r="AR19" s="903"/>
      <c r="AS19" s="903"/>
      <c r="AT19" s="903"/>
      <c r="AU19" s="903"/>
      <c r="AV19" s="903"/>
      <c r="AW19" s="903"/>
      <c r="AX19" s="903"/>
    </row>
    <row r="20" spans="1:50" s="8" customFormat="1" ht="60">
      <c r="A20" s="401" t="s">
        <v>144</v>
      </c>
      <c r="B20" s="402" t="s">
        <v>189</v>
      </c>
      <c r="C20" s="904" t="s">
        <v>201</v>
      </c>
      <c r="D20" s="904">
        <v>8078422</v>
      </c>
      <c r="E20" s="927" t="s">
        <v>185</v>
      </c>
      <c r="F20" s="13" t="s">
        <v>202</v>
      </c>
      <c r="G20" s="408" t="s">
        <v>186</v>
      </c>
      <c r="H20" s="405" t="s">
        <v>187</v>
      </c>
      <c r="I20" s="406" t="s">
        <v>190</v>
      </c>
      <c r="J20" s="19">
        <v>5344.8639999999996</v>
      </c>
      <c r="K20" s="19"/>
      <c r="L20" s="44"/>
      <c r="M20" s="19">
        <v>5344.8639999999996</v>
      </c>
      <c r="N20" s="407">
        <f t="shared" si="24"/>
        <v>4345</v>
      </c>
      <c r="O20" s="407"/>
      <c r="P20" s="407"/>
      <c r="Q20" s="407">
        <v>4345</v>
      </c>
      <c r="R20" s="407">
        <f t="shared" si="25"/>
        <v>4345</v>
      </c>
      <c r="S20" s="407"/>
      <c r="T20" s="407"/>
      <c r="U20" s="407">
        <v>4345</v>
      </c>
      <c r="V20" s="44">
        <v>1000</v>
      </c>
      <c r="W20" s="44">
        <f t="shared" ref="W20:W24" si="26">SUM(X20:AA20)</f>
        <v>1000</v>
      </c>
      <c r="X20" s="44"/>
      <c r="Y20" s="44"/>
      <c r="Z20" s="44">
        <v>1000</v>
      </c>
      <c r="AA20" s="44"/>
      <c r="AB20" s="408" t="s">
        <v>1622</v>
      </c>
      <c r="AC20" s="380">
        <f t="shared" si="21"/>
        <v>0</v>
      </c>
      <c r="AI20" s="903"/>
      <c r="AJ20" s="903" t="s">
        <v>685</v>
      </c>
      <c r="AK20" s="903"/>
      <c r="AL20" s="903"/>
      <c r="AM20" s="903"/>
      <c r="AN20" s="903"/>
      <c r="AO20" s="903"/>
      <c r="AP20" s="903"/>
      <c r="AQ20" s="903"/>
      <c r="AR20" s="903"/>
      <c r="AS20" s="903"/>
      <c r="AT20" s="903"/>
      <c r="AU20" s="903"/>
      <c r="AV20" s="903"/>
      <c r="AW20" s="903"/>
      <c r="AX20" s="903"/>
    </row>
    <row r="21" spans="1:50" s="8" customFormat="1" ht="60">
      <c r="A21" s="401" t="s">
        <v>144</v>
      </c>
      <c r="B21" s="402" t="s">
        <v>191</v>
      </c>
      <c r="C21" s="904" t="s">
        <v>201</v>
      </c>
      <c r="D21" s="904">
        <v>8073855</v>
      </c>
      <c r="E21" s="931" t="s">
        <v>192</v>
      </c>
      <c r="F21" s="13" t="s">
        <v>202</v>
      </c>
      <c r="G21" s="408" t="s">
        <v>186</v>
      </c>
      <c r="H21" s="405" t="s">
        <v>187</v>
      </c>
      <c r="I21" s="409" t="s">
        <v>193</v>
      </c>
      <c r="J21" s="19">
        <v>11662.971</v>
      </c>
      <c r="K21" s="19"/>
      <c r="L21" s="44"/>
      <c r="M21" s="19">
        <v>11662.971</v>
      </c>
      <c r="N21" s="407">
        <f t="shared" si="24"/>
        <v>3644</v>
      </c>
      <c r="O21" s="407"/>
      <c r="P21" s="407"/>
      <c r="Q21" s="407">
        <v>3644</v>
      </c>
      <c r="R21" s="407">
        <f t="shared" si="25"/>
        <v>3644</v>
      </c>
      <c r="S21" s="407"/>
      <c r="T21" s="407"/>
      <c r="U21" s="407">
        <v>3644</v>
      </c>
      <c r="V21" s="44">
        <v>5287</v>
      </c>
      <c r="W21" s="44">
        <f t="shared" si="26"/>
        <v>5287</v>
      </c>
      <c r="X21" s="44"/>
      <c r="Y21" s="44"/>
      <c r="Z21" s="44">
        <v>5287</v>
      </c>
      <c r="AA21" s="44"/>
      <c r="AB21" s="408" t="s">
        <v>1622</v>
      </c>
      <c r="AC21" s="380">
        <f t="shared" si="21"/>
        <v>0</v>
      </c>
      <c r="AI21" s="903"/>
      <c r="AJ21" s="903" t="s">
        <v>685</v>
      </c>
      <c r="AK21" s="903"/>
      <c r="AL21" s="903"/>
      <c r="AM21" s="903"/>
      <c r="AN21" s="903"/>
      <c r="AO21" s="903"/>
      <c r="AP21" s="903"/>
      <c r="AQ21" s="903"/>
      <c r="AR21" s="903"/>
      <c r="AS21" s="903"/>
      <c r="AT21" s="903"/>
      <c r="AU21" s="903"/>
      <c r="AV21" s="903"/>
      <c r="AW21" s="903"/>
      <c r="AX21" s="903"/>
    </row>
    <row r="22" spans="1:50" s="8" customFormat="1" ht="60">
      <c r="A22" s="401" t="s">
        <v>144</v>
      </c>
      <c r="B22" s="410" t="s">
        <v>194</v>
      </c>
      <c r="C22" s="904" t="s">
        <v>201</v>
      </c>
      <c r="D22" s="904">
        <v>8047972</v>
      </c>
      <c r="E22" s="927" t="s">
        <v>185</v>
      </c>
      <c r="F22" s="13" t="s">
        <v>202</v>
      </c>
      <c r="G22" s="404" t="s">
        <v>186</v>
      </c>
      <c r="H22" s="405" t="s">
        <v>187</v>
      </c>
      <c r="I22" s="21" t="s">
        <v>195</v>
      </c>
      <c r="J22" s="17">
        <v>27669</v>
      </c>
      <c r="K22" s="44"/>
      <c r="L22" s="44"/>
      <c r="M22" s="17">
        <v>27669</v>
      </c>
      <c r="N22" s="407">
        <f t="shared" si="24"/>
        <v>23831</v>
      </c>
      <c r="O22" s="407"/>
      <c r="P22" s="407"/>
      <c r="Q22" s="407">
        <v>23831</v>
      </c>
      <c r="R22" s="407">
        <f t="shared" si="25"/>
        <v>23831</v>
      </c>
      <c r="S22" s="407"/>
      <c r="T22" s="407"/>
      <c r="U22" s="407">
        <v>23831</v>
      </c>
      <c r="V22" s="44">
        <v>3700</v>
      </c>
      <c r="W22" s="44">
        <f t="shared" si="26"/>
        <v>3700</v>
      </c>
      <c r="X22" s="44"/>
      <c r="Y22" s="44"/>
      <c r="Z22" s="44">
        <v>3700</v>
      </c>
      <c r="AA22" s="44"/>
      <c r="AB22" s="408" t="s">
        <v>1622</v>
      </c>
      <c r="AC22" s="380">
        <f t="shared" si="21"/>
        <v>0</v>
      </c>
      <c r="AI22" s="903"/>
      <c r="AJ22" s="903" t="s">
        <v>685</v>
      </c>
      <c r="AK22" s="903"/>
      <c r="AL22" s="903"/>
      <c r="AM22" s="903"/>
      <c r="AN22" s="903"/>
      <c r="AO22" s="903"/>
      <c r="AP22" s="903"/>
      <c r="AQ22" s="903"/>
      <c r="AR22" s="903"/>
      <c r="AS22" s="903"/>
      <c r="AT22" s="903"/>
      <c r="AU22" s="903"/>
      <c r="AV22" s="903"/>
      <c r="AW22" s="903"/>
      <c r="AX22" s="903"/>
    </row>
    <row r="23" spans="1:50" s="8" customFormat="1" ht="60">
      <c r="A23" s="401" t="s">
        <v>144</v>
      </c>
      <c r="B23" s="411" t="s">
        <v>196</v>
      </c>
      <c r="C23" s="904" t="s">
        <v>201</v>
      </c>
      <c r="D23" s="904">
        <v>8106257</v>
      </c>
      <c r="E23" s="927" t="s">
        <v>185</v>
      </c>
      <c r="F23" s="13" t="s">
        <v>202</v>
      </c>
      <c r="G23" s="408" t="s">
        <v>197</v>
      </c>
      <c r="H23" s="405" t="s">
        <v>53</v>
      </c>
      <c r="I23" s="409" t="s">
        <v>198</v>
      </c>
      <c r="J23" s="19">
        <v>54594</v>
      </c>
      <c r="K23" s="44"/>
      <c r="L23" s="44"/>
      <c r="M23" s="44">
        <v>54594</v>
      </c>
      <c r="N23" s="407">
        <f t="shared" si="24"/>
        <v>16026</v>
      </c>
      <c r="O23" s="407"/>
      <c r="P23" s="407"/>
      <c r="Q23" s="407">
        <v>16026</v>
      </c>
      <c r="R23" s="407">
        <f t="shared" si="25"/>
        <v>16026</v>
      </c>
      <c r="S23" s="407"/>
      <c r="T23" s="407"/>
      <c r="U23" s="407">
        <v>16026</v>
      </c>
      <c r="V23" s="44">
        <v>37974</v>
      </c>
      <c r="W23" s="44">
        <f t="shared" si="26"/>
        <v>37974</v>
      </c>
      <c r="X23" s="44"/>
      <c r="Y23" s="44"/>
      <c r="Z23" s="44">
        <v>37974</v>
      </c>
      <c r="AA23" s="44"/>
      <c r="AB23" s="408" t="s">
        <v>1622</v>
      </c>
      <c r="AC23" s="380">
        <f t="shared" si="21"/>
        <v>0</v>
      </c>
      <c r="AI23" s="903"/>
      <c r="AJ23" s="903" t="s">
        <v>685</v>
      </c>
      <c r="AK23" s="903"/>
      <c r="AL23" s="903"/>
      <c r="AM23" s="903"/>
      <c r="AN23" s="903"/>
      <c r="AO23" s="903"/>
      <c r="AP23" s="903"/>
      <c r="AQ23" s="903"/>
      <c r="AR23" s="903"/>
      <c r="AS23" s="903"/>
      <c r="AT23" s="903"/>
      <c r="AU23" s="903"/>
      <c r="AV23" s="903"/>
      <c r="AW23" s="903"/>
      <c r="AX23" s="903"/>
    </row>
    <row r="24" spans="1:50" s="8" customFormat="1" ht="60">
      <c r="A24" s="401" t="s">
        <v>144</v>
      </c>
      <c r="B24" s="315" t="s">
        <v>199</v>
      </c>
      <c r="C24" s="904" t="s">
        <v>201</v>
      </c>
      <c r="D24" s="932">
        <v>8117061</v>
      </c>
      <c r="E24" s="927" t="s">
        <v>185</v>
      </c>
      <c r="F24" s="13" t="s">
        <v>202</v>
      </c>
      <c r="G24" s="408" t="s">
        <v>197</v>
      </c>
      <c r="H24" s="405" t="s">
        <v>53</v>
      </c>
      <c r="I24" s="412" t="s">
        <v>200</v>
      </c>
      <c r="J24" s="19">
        <v>61616</v>
      </c>
      <c r="K24" s="44"/>
      <c r="L24" s="44"/>
      <c r="M24" s="44">
        <v>61616</v>
      </c>
      <c r="N24" s="407">
        <f t="shared" si="24"/>
        <v>11479</v>
      </c>
      <c r="O24" s="407"/>
      <c r="P24" s="407"/>
      <c r="Q24" s="407">
        <v>11479</v>
      </c>
      <c r="R24" s="407">
        <f t="shared" si="25"/>
        <v>11479</v>
      </c>
      <c r="S24" s="407"/>
      <c r="T24" s="407"/>
      <c r="U24" s="407">
        <v>11479</v>
      </c>
      <c r="V24" s="44">
        <v>50137</v>
      </c>
      <c r="W24" s="44">
        <f t="shared" si="26"/>
        <v>50137</v>
      </c>
      <c r="X24" s="44"/>
      <c r="Y24" s="44"/>
      <c r="Z24" s="44">
        <v>50137</v>
      </c>
      <c r="AA24" s="44"/>
      <c r="AB24" s="408" t="s">
        <v>1622</v>
      </c>
      <c r="AC24" s="380">
        <f t="shared" si="21"/>
        <v>0</v>
      </c>
      <c r="AI24" s="903"/>
      <c r="AJ24" s="903" t="s">
        <v>685</v>
      </c>
      <c r="AK24" s="903"/>
      <c r="AL24" s="903"/>
      <c r="AM24" s="903"/>
      <c r="AN24" s="903"/>
      <c r="AO24" s="903"/>
      <c r="AP24" s="903"/>
      <c r="AQ24" s="903"/>
      <c r="AR24" s="903"/>
      <c r="AS24" s="903"/>
      <c r="AT24" s="903"/>
      <c r="AU24" s="903"/>
      <c r="AV24" s="903"/>
      <c r="AW24" s="903"/>
      <c r="AX24" s="903"/>
    </row>
    <row r="25" spans="1:50" s="942" customFormat="1" ht="24" customHeight="1">
      <c r="A25" s="933" t="s">
        <v>1306</v>
      </c>
      <c r="B25" s="934" t="s">
        <v>1307</v>
      </c>
      <c r="C25" s="904" t="s">
        <v>201</v>
      </c>
      <c r="D25" s="935"/>
      <c r="E25" s="936"/>
      <c r="F25" s="937"/>
      <c r="G25" s="938"/>
      <c r="H25" s="939"/>
      <c r="I25" s="940"/>
      <c r="J25" s="941"/>
      <c r="K25" s="941"/>
      <c r="L25" s="941"/>
      <c r="M25" s="941"/>
      <c r="N25" s="941"/>
      <c r="O25" s="941"/>
      <c r="P25" s="941"/>
      <c r="Q25" s="941"/>
      <c r="R25" s="941"/>
      <c r="S25" s="941"/>
      <c r="T25" s="941"/>
      <c r="U25" s="941"/>
      <c r="V25" s="941"/>
      <c r="W25" s="941"/>
      <c r="X25" s="941"/>
      <c r="Y25" s="941"/>
      <c r="Z25" s="941"/>
      <c r="AA25" s="941"/>
      <c r="AB25" s="915"/>
      <c r="AC25" s="902">
        <f t="shared" si="21"/>
        <v>0</v>
      </c>
    </row>
    <row r="26" spans="1:50" s="903" customFormat="1" ht="38.25" customHeight="1">
      <c r="A26" s="895">
        <v>2</v>
      </c>
      <c r="B26" s="943" t="s">
        <v>203</v>
      </c>
      <c r="C26" s="944" t="s">
        <v>203</v>
      </c>
      <c r="D26" s="898"/>
      <c r="E26" s="898"/>
      <c r="F26" s="898"/>
      <c r="G26" s="898"/>
      <c r="H26" s="898"/>
      <c r="I26" s="899"/>
      <c r="J26" s="900">
        <f t="shared" ref="J26:AB26" si="27">+J27</f>
        <v>304407</v>
      </c>
      <c r="K26" s="900">
        <f t="shared" si="27"/>
        <v>0</v>
      </c>
      <c r="L26" s="900">
        <f t="shared" si="27"/>
        <v>0</v>
      </c>
      <c r="M26" s="900">
        <f t="shared" si="27"/>
        <v>304407</v>
      </c>
      <c r="N26" s="900">
        <f t="shared" si="27"/>
        <v>179389</v>
      </c>
      <c r="O26" s="900">
        <f t="shared" si="27"/>
        <v>0</v>
      </c>
      <c r="P26" s="900">
        <f t="shared" si="27"/>
        <v>0</v>
      </c>
      <c r="Q26" s="900">
        <f t="shared" si="27"/>
        <v>179389</v>
      </c>
      <c r="R26" s="900">
        <f t="shared" si="27"/>
        <v>186290</v>
      </c>
      <c r="S26" s="900">
        <f t="shared" si="27"/>
        <v>0</v>
      </c>
      <c r="T26" s="900">
        <f t="shared" si="27"/>
        <v>0</v>
      </c>
      <c r="U26" s="900">
        <f t="shared" si="27"/>
        <v>186290</v>
      </c>
      <c r="V26" s="900">
        <f t="shared" si="27"/>
        <v>80351</v>
      </c>
      <c r="W26" s="900">
        <f>+W27</f>
        <v>70695</v>
      </c>
      <c r="X26" s="900">
        <f t="shared" si="27"/>
        <v>0</v>
      </c>
      <c r="Y26" s="900">
        <f t="shared" si="27"/>
        <v>0</v>
      </c>
      <c r="Z26" s="900">
        <f t="shared" si="27"/>
        <v>70695</v>
      </c>
      <c r="AA26" s="900">
        <f t="shared" si="27"/>
        <v>0</v>
      </c>
      <c r="AB26" s="901">
        <f t="shared" si="27"/>
        <v>0</v>
      </c>
      <c r="AC26" s="902">
        <f t="shared" si="21"/>
        <v>0</v>
      </c>
    </row>
    <row r="27" spans="1:50" s="951" customFormat="1" ht="27.75" customHeight="1">
      <c r="A27" s="905" t="s">
        <v>1287</v>
      </c>
      <c r="B27" s="906" t="s">
        <v>38</v>
      </c>
      <c r="C27" s="944" t="s">
        <v>203</v>
      </c>
      <c r="D27" s="945"/>
      <c r="E27" s="945"/>
      <c r="F27" s="946"/>
      <c r="G27" s="946"/>
      <c r="H27" s="947"/>
      <c r="I27" s="948"/>
      <c r="J27" s="949">
        <f t="shared" ref="J27:AA27" si="28">+J28+J37+J42</f>
        <v>304407</v>
      </c>
      <c r="K27" s="949">
        <f t="shared" si="28"/>
        <v>0</v>
      </c>
      <c r="L27" s="949">
        <f t="shared" si="28"/>
        <v>0</v>
      </c>
      <c r="M27" s="949">
        <f t="shared" si="28"/>
        <v>304407</v>
      </c>
      <c r="N27" s="949">
        <f t="shared" si="28"/>
        <v>179389</v>
      </c>
      <c r="O27" s="949">
        <f t="shared" si="28"/>
        <v>0</v>
      </c>
      <c r="P27" s="949">
        <f t="shared" si="28"/>
        <v>0</v>
      </c>
      <c r="Q27" s="949">
        <f t="shared" si="28"/>
        <v>179389</v>
      </c>
      <c r="R27" s="949">
        <f t="shared" si="28"/>
        <v>186290</v>
      </c>
      <c r="S27" s="949">
        <f t="shared" si="28"/>
        <v>0</v>
      </c>
      <c r="T27" s="949">
        <f t="shared" si="28"/>
        <v>0</v>
      </c>
      <c r="U27" s="949">
        <f t="shared" si="28"/>
        <v>186290</v>
      </c>
      <c r="V27" s="949">
        <f t="shared" si="28"/>
        <v>80351</v>
      </c>
      <c r="W27" s="949">
        <f t="shared" si="28"/>
        <v>70695</v>
      </c>
      <c r="X27" s="949">
        <f t="shared" si="28"/>
        <v>0</v>
      </c>
      <c r="Y27" s="949">
        <f t="shared" si="28"/>
        <v>0</v>
      </c>
      <c r="Z27" s="949">
        <f t="shared" si="28"/>
        <v>70695</v>
      </c>
      <c r="AA27" s="949">
        <f t="shared" si="28"/>
        <v>0</v>
      </c>
      <c r="AB27" s="950"/>
      <c r="AC27" s="902">
        <f t="shared" si="21"/>
        <v>0</v>
      </c>
    </row>
    <row r="28" spans="1:50" s="911" customFormat="1" ht="36" customHeight="1">
      <c r="A28" s="912" t="s">
        <v>39</v>
      </c>
      <c r="B28" s="913" t="s">
        <v>1254</v>
      </c>
      <c r="C28" s="944" t="s">
        <v>203</v>
      </c>
      <c r="D28" s="952"/>
      <c r="E28" s="952"/>
      <c r="F28" s="953"/>
      <c r="G28" s="953"/>
      <c r="H28" s="954"/>
      <c r="I28" s="937"/>
      <c r="J28" s="955">
        <f t="shared" ref="J28:AB28" si="29">+SUM(J29:J36)</f>
        <v>168618</v>
      </c>
      <c r="K28" s="955">
        <f t="shared" si="29"/>
        <v>0</v>
      </c>
      <c r="L28" s="955">
        <f t="shared" si="29"/>
        <v>0</v>
      </c>
      <c r="M28" s="955">
        <f t="shared" si="29"/>
        <v>168618</v>
      </c>
      <c r="N28" s="955">
        <f t="shared" si="29"/>
        <v>102842</v>
      </c>
      <c r="O28" s="955">
        <f t="shared" si="29"/>
        <v>0</v>
      </c>
      <c r="P28" s="955">
        <f t="shared" si="29"/>
        <v>0</v>
      </c>
      <c r="Q28" s="955">
        <f t="shared" si="29"/>
        <v>102842</v>
      </c>
      <c r="R28" s="955">
        <f t="shared" si="29"/>
        <v>103171</v>
      </c>
      <c r="S28" s="955">
        <f t="shared" si="29"/>
        <v>0</v>
      </c>
      <c r="T28" s="955">
        <f t="shared" si="29"/>
        <v>0</v>
      </c>
      <c r="U28" s="955">
        <f t="shared" si="29"/>
        <v>103171</v>
      </c>
      <c r="V28" s="955">
        <f t="shared" si="29"/>
        <v>21059</v>
      </c>
      <c r="W28" s="955">
        <f>+SUM(W29:W36)</f>
        <v>21176</v>
      </c>
      <c r="X28" s="955">
        <f t="shared" si="29"/>
        <v>0</v>
      </c>
      <c r="Y28" s="955">
        <f t="shared" si="29"/>
        <v>0</v>
      </c>
      <c r="Z28" s="955">
        <f t="shared" si="29"/>
        <v>21176</v>
      </c>
      <c r="AA28" s="955">
        <f t="shared" si="29"/>
        <v>0</v>
      </c>
      <c r="AB28" s="956">
        <f t="shared" si="29"/>
        <v>0</v>
      </c>
      <c r="AC28" s="902">
        <f t="shared" si="21"/>
        <v>0</v>
      </c>
    </row>
    <row r="29" spans="1:50" s="964" customFormat="1" ht="54" customHeight="1">
      <c r="A29" s="957" t="s">
        <v>144</v>
      </c>
      <c r="B29" s="958" t="s">
        <v>1195</v>
      </c>
      <c r="C29" s="944" t="s">
        <v>203</v>
      </c>
      <c r="D29" s="920">
        <v>7875270</v>
      </c>
      <c r="E29" s="959"/>
      <c r="F29" s="960" t="s">
        <v>274</v>
      </c>
      <c r="G29" s="960" t="s">
        <v>186</v>
      </c>
      <c r="H29" s="961" t="s">
        <v>692</v>
      </c>
      <c r="I29" s="904" t="s">
        <v>1198</v>
      </c>
      <c r="J29" s="922">
        <v>8252</v>
      </c>
      <c r="K29" s="962"/>
      <c r="L29" s="962"/>
      <c r="M29" s="922">
        <v>8252</v>
      </c>
      <c r="N29" s="962"/>
      <c r="O29" s="962"/>
      <c r="P29" s="962"/>
      <c r="Q29" s="962"/>
      <c r="R29" s="962"/>
      <c r="S29" s="962"/>
      <c r="T29" s="962"/>
      <c r="U29" s="962"/>
      <c r="V29" s="929">
        <v>70</v>
      </c>
      <c r="W29" s="963">
        <f>SUM(X29:AA29)</f>
        <v>70</v>
      </c>
      <c r="X29" s="963"/>
      <c r="Y29" s="963"/>
      <c r="Z29" s="963">
        <v>70</v>
      </c>
      <c r="AA29" s="963"/>
      <c r="AB29" s="904" t="s">
        <v>1201</v>
      </c>
      <c r="AC29" s="902">
        <f t="shared" si="21"/>
        <v>0</v>
      </c>
      <c r="AJ29" s="925" t="s">
        <v>1308</v>
      </c>
    </row>
    <row r="30" spans="1:50" s="964" customFormat="1" ht="54" customHeight="1">
      <c r="A30" s="957" t="s">
        <v>144</v>
      </c>
      <c r="B30" s="963" t="s">
        <v>1196</v>
      </c>
      <c r="C30" s="944" t="s">
        <v>203</v>
      </c>
      <c r="D30" s="920">
        <v>7875278</v>
      </c>
      <c r="E30" s="959"/>
      <c r="F30" s="960" t="s">
        <v>274</v>
      </c>
      <c r="G30" s="960" t="s">
        <v>186</v>
      </c>
      <c r="H30" s="961" t="s">
        <v>692</v>
      </c>
      <c r="I30" s="904" t="s">
        <v>1199</v>
      </c>
      <c r="J30" s="922">
        <v>4538</v>
      </c>
      <c r="K30" s="962"/>
      <c r="L30" s="962"/>
      <c r="M30" s="922">
        <v>4538</v>
      </c>
      <c r="N30" s="962"/>
      <c r="O30" s="962"/>
      <c r="P30" s="962"/>
      <c r="Q30" s="962"/>
      <c r="R30" s="962"/>
      <c r="S30" s="962"/>
      <c r="T30" s="962"/>
      <c r="U30" s="962"/>
      <c r="V30" s="929">
        <v>17</v>
      </c>
      <c r="W30" s="963">
        <f t="shared" ref="W30:W36" si="30">SUM(X30:AA30)</f>
        <v>17</v>
      </c>
      <c r="X30" s="963"/>
      <c r="Y30" s="963"/>
      <c r="Z30" s="963">
        <v>17</v>
      </c>
      <c r="AA30" s="963"/>
      <c r="AB30" s="904" t="s">
        <v>1202</v>
      </c>
      <c r="AC30" s="902">
        <f t="shared" si="21"/>
        <v>0</v>
      </c>
      <c r="AJ30" s="925" t="s">
        <v>1308</v>
      </c>
    </row>
    <row r="31" spans="1:50" s="964" customFormat="1" ht="54" customHeight="1">
      <c r="A31" s="957" t="s">
        <v>144</v>
      </c>
      <c r="B31" s="963" t="s">
        <v>1197</v>
      </c>
      <c r="C31" s="944" t="s">
        <v>203</v>
      </c>
      <c r="D31" s="920">
        <v>7736790</v>
      </c>
      <c r="E31" s="959"/>
      <c r="F31" s="960" t="s">
        <v>274</v>
      </c>
      <c r="G31" s="960" t="s">
        <v>186</v>
      </c>
      <c r="H31" s="961" t="s">
        <v>437</v>
      </c>
      <c r="I31" s="904" t="s">
        <v>1200</v>
      </c>
      <c r="J31" s="922">
        <v>29581</v>
      </c>
      <c r="K31" s="962"/>
      <c r="L31" s="962"/>
      <c r="M31" s="922">
        <v>29581</v>
      </c>
      <c r="N31" s="962"/>
      <c r="O31" s="962"/>
      <c r="P31" s="962"/>
      <c r="Q31" s="962"/>
      <c r="R31" s="962"/>
      <c r="S31" s="962"/>
      <c r="T31" s="962"/>
      <c r="U31" s="962"/>
      <c r="V31" s="929">
        <v>22</v>
      </c>
      <c r="W31" s="963">
        <f t="shared" si="30"/>
        <v>17</v>
      </c>
      <c r="X31" s="963"/>
      <c r="Y31" s="963"/>
      <c r="Z31" s="963">
        <v>17</v>
      </c>
      <c r="AA31" s="963"/>
      <c r="AB31" s="904" t="s">
        <v>1203</v>
      </c>
      <c r="AC31" s="902">
        <f t="shared" si="21"/>
        <v>0</v>
      </c>
      <c r="AJ31" s="925" t="s">
        <v>1308</v>
      </c>
    </row>
    <row r="32" spans="1:50" s="964" customFormat="1" ht="41.25" customHeight="1">
      <c r="A32" s="965" t="s">
        <v>144</v>
      </c>
      <c r="B32" s="966" t="s">
        <v>219</v>
      </c>
      <c r="C32" s="944" t="s">
        <v>203</v>
      </c>
      <c r="D32" s="967" t="s">
        <v>220</v>
      </c>
      <c r="E32" s="931" t="s">
        <v>185</v>
      </c>
      <c r="F32" s="968" t="s">
        <v>221</v>
      </c>
      <c r="G32" s="967"/>
      <c r="H32" s="961" t="s">
        <v>187</v>
      </c>
      <c r="I32" s="904" t="s">
        <v>222</v>
      </c>
      <c r="J32" s="921">
        <v>11773</v>
      </c>
      <c r="K32" s="962"/>
      <c r="L32" s="962"/>
      <c r="M32" s="921">
        <f>J32</f>
        <v>11773</v>
      </c>
      <c r="N32" s="969">
        <f>O32+P32+Q32</f>
        <v>9852</v>
      </c>
      <c r="O32" s="962"/>
      <c r="P32" s="962"/>
      <c r="Q32" s="929">
        <v>9852</v>
      </c>
      <c r="R32" s="969">
        <f>S32+T32+U32</f>
        <v>9852</v>
      </c>
      <c r="S32" s="962"/>
      <c r="T32" s="962"/>
      <c r="U32" s="929">
        <v>9852</v>
      </c>
      <c r="V32" s="921">
        <v>1921</v>
      </c>
      <c r="W32" s="963">
        <f t="shared" si="30"/>
        <v>1921</v>
      </c>
      <c r="X32" s="921"/>
      <c r="Y32" s="921"/>
      <c r="Z32" s="921">
        <v>1921</v>
      </c>
      <c r="AA32" s="921"/>
      <c r="AB32" s="924" t="s">
        <v>1308</v>
      </c>
      <c r="AC32" s="902">
        <f t="shared" si="21"/>
        <v>0</v>
      </c>
      <c r="AJ32" s="925" t="s">
        <v>1308</v>
      </c>
    </row>
    <row r="33" spans="1:50" s="964" customFormat="1" ht="46.5" customHeight="1">
      <c r="A33" s="965" t="s">
        <v>144</v>
      </c>
      <c r="B33" s="966" t="s">
        <v>223</v>
      </c>
      <c r="C33" s="944" t="s">
        <v>203</v>
      </c>
      <c r="D33" s="967" t="s">
        <v>224</v>
      </c>
      <c r="E33" s="927" t="s">
        <v>210</v>
      </c>
      <c r="F33" s="968" t="s">
        <v>211</v>
      </c>
      <c r="G33" s="967"/>
      <c r="H33" s="961" t="s">
        <v>187</v>
      </c>
      <c r="I33" s="904" t="s">
        <v>225</v>
      </c>
      <c r="J33" s="921">
        <v>10095</v>
      </c>
      <c r="K33" s="962"/>
      <c r="L33" s="962"/>
      <c r="M33" s="921">
        <f>J33</f>
        <v>10095</v>
      </c>
      <c r="N33" s="969">
        <f>O33+P33+Q33</f>
        <v>8296</v>
      </c>
      <c r="O33" s="962"/>
      <c r="P33" s="962"/>
      <c r="Q33" s="929">
        <v>8296</v>
      </c>
      <c r="R33" s="969">
        <f>S33+T33+U33</f>
        <v>8296</v>
      </c>
      <c r="S33" s="962"/>
      <c r="T33" s="962"/>
      <c r="U33" s="970">
        <f>9086-790</f>
        <v>8296</v>
      </c>
      <c r="V33" s="921">
        <v>1799</v>
      </c>
      <c r="W33" s="963">
        <f t="shared" si="30"/>
        <v>1921</v>
      </c>
      <c r="X33" s="921"/>
      <c r="Y33" s="921"/>
      <c r="Z33" s="921">
        <v>1921</v>
      </c>
      <c r="AA33" s="921"/>
      <c r="AB33" s="924" t="s">
        <v>1308</v>
      </c>
      <c r="AC33" s="902">
        <f t="shared" si="21"/>
        <v>0</v>
      </c>
      <c r="AJ33" s="925" t="s">
        <v>1308</v>
      </c>
    </row>
    <row r="34" spans="1:50" s="964" customFormat="1" ht="72.75" customHeight="1">
      <c r="A34" s="965" t="s">
        <v>144</v>
      </c>
      <c r="B34" s="966" t="s">
        <v>226</v>
      </c>
      <c r="C34" s="944" t="s">
        <v>203</v>
      </c>
      <c r="D34" s="971">
        <v>8044539</v>
      </c>
      <c r="E34" s="927" t="s">
        <v>192</v>
      </c>
      <c r="F34" s="968" t="s">
        <v>227</v>
      </c>
      <c r="G34" s="967"/>
      <c r="H34" s="961" t="s">
        <v>187</v>
      </c>
      <c r="I34" s="904" t="s">
        <v>228</v>
      </c>
      <c r="J34" s="921">
        <v>14891</v>
      </c>
      <c r="K34" s="962"/>
      <c r="L34" s="962"/>
      <c r="M34" s="921">
        <f>J34</f>
        <v>14891</v>
      </c>
      <c r="N34" s="969">
        <f>O34+P34+Q34</f>
        <v>11921</v>
      </c>
      <c r="O34" s="962"/>
      <c r="P34" s="962"/>
      <c r="Q34" s="969">
        <f>R34+S34+T34</f>
        <v>11921</v>
      </c>
      <c r="R34" s="969">
        <f>S34+T34+U34</f>
        <v>11921</v>
      </c>
      <c r="S34" s="962"/>
      <c r="T34" s="962"/>
      <c r="U34" s="970">
        <v>11921</v>
      </c>
      <c r="V34" s="921">
        <v>1632</v>
      </c>
      <c r="W34" s="963">
        <f t="shared" si="30"/>
        <v>1632</v>
      </c>
      <c r="X34" s="921"/>
      <c r="Y34" s="921"/>
      <c r="Z34" s="921">
        <v>1632</v>
      </c>
      <c r="AA34" s="921"/>
      <c r="AB34" s="924" t="s">
        <v>1308</v>
      </c>
      <c r="AC34" s="902">
        <f t="shared" si="21"/>
        <v>0</v>
      </c>
      <c r="AJ34" s="925" t="s">
        <v>1308</v>
      </c>
    </row>
    <row r="35" spans="1:50" s="964" customFormat="1" ht="66" customHeight="1">
      <c r="A35" s="965" t="s">
        <v>144</v>
      </c>
      <c r="B35" s="972" t="s">
        <v>229</v>
      </c>
      <c r="C35" s="944" t="s">
        <v>203</v>
      </c>
      <c r="D35" s="971">
        <v>8044541</v>
      </c>
      <c r="E35" s="927" t="s">
        <v>230</v>
      </c>
      <c r="F35" s="973" t="s">
        <v>211</v>
      </c>
      <c r="G35" s="974"/>
      <c r="H35" s="975">
        <v>2025</v>
      </c>
      <c r="I35" s="904" t="s">
        <v>231</v>
      </c>
      <c r="J35" s="922">
        <v>44908</v>
      </c>
      <c r="K35" s="962"/>
      <c r="L35" s="962"/>
      <c r="M35" s="921">
        <f>J35</f>
        <v>44908</v>
      </c>
      <c r="N35" s="969">
        <f>O35+P35+Q35</f>
        <v>36851</v>
      </c>
      <c r="O35" s="962"/>
      <c r="P35" s="962"/>
      <c r="Q35" s="976">
        <v>36851</v>
      </c>
      <c r="R35" s="969">
        <f>S35+T35+U35</f>
        <v>36980</v>
      </c>
      <c r="S35" s="962"/>
      <c r="T35" s="962"/>
      <c r="U35" s="970">
        <v>36980</v>
      </c>
      <c r="V35" s="922">
        <v>7720</v>
      </c>
      <c r="W35" s="963">
        <f t="shared" si="30"/>
        <v>7720</v>
      </c>
      <c r="X35" s="922"/>
      <c r="Y35" s="922"/>
      <c r="Z35" s="922">
        <v>7720</v>
      </c>
      <c r="AA35" s="922"/>
      <c r="AB35" s="924" t="s">
        <v>1308</v>
      </c>
      <c r="AC35" s="902">
        <f t="shared" si="21"/>
        <v>0</v>
      </c>
      <c r="AJ35" s="925" t="s">
        <v>1308</v>
      </c>
    </row>
    <row r="36" spans="1:50" s="964" customFormat="1" ht="64.5" customHeight="1">
      <c r="A36" s="965" t="s">
        <v>144</v>
      </c>
      <c r="B36" s="972" t="s">
        <v>232</v>
      </c>
      <c r="C36" s="944" t="s">
        <v>203</v>
      </c>
      <c r="D36" s="967" t="s">
        <v>233</v>
      </c>
      <c r="E36" s="927" t="s">
        <v>230</v>
      </c>
      <c r="F36" s="973" t="s">
        <v>211</v>
      </c>
      <c r="G36" s="974"/>
      <c r="H36" s="975">
        <v>2025</v>
      </c>
      <c r="I36" s="904" t="s">
        <v>446</v>
      </c>
      <c r="J36" s="922">
        <v>44580</v>
      </c>
      <c r="K36" s="962"/>
      <c r="L36" s="962"/>
      <c r="M36" s="921">
        <f>J36</f>
        <v>44580</v>
      </c>
      <c r="N36" s="969">
        <f>O36+P36+Q36</f>
        <v>35922</v>
      </c>
      <c r="O36" s="962"/>
      <c r="P36" s="962"/>
      <c r="Q36" s="976">
        <v>35922</v>
      </c>
      <c r="R36" s="969">
        <f>S36+T36+U36</f>
        <v>36122</v>
      </c>
      <c r="S36" s="962"/>
      <c r="T36" s="962"/>
      <c r="U36" s="970">
        <v>36122</v>
      </c>
      <c r="V36" s="922">
        <v>7878</v>
      </c>
      <c r="W36" s="977">
        <f t="shared" si="30"/>
        <v>7878</v>
      </c>
      <c r="X36" s="970"/>
      <c r="Y36" s="970"/>
      <c r="Z36" s="970">
        <v>7878</v>
      </c>
      <c r="AA36" s="970"/>
      <c r="AB36" s="924" t="s">
        <v>1308</v>
      </c>
      <c r="AC36" s="902">
        <f t="shared" si="21"/>
        <v>0</v>
      </c>
      <c r="AJ36" s="925" t="s">
        <v>1308</v>
      </c>
    </row>
    <row r="37" spans="1:50" s="911" customFormat="1" ht="40.5" customHeight="1">
      <c r="A37" s="912" t="s">
        <v>467</v>
      </c>
      <c r="B37" s="926" t="s">
        <v>183</v>
      </c>
      <c r="C37" s="944" t="s">
        <v>203</v>
      </c>
      <c r="D37" s="978"/>
      <c r="E37" s="978"/>
      <c r="F37" s="953"/>
      <c r="G37" s="953"/>
      <c r="H37" s="954"/>
      <c r="I37" s="937"/>
      <c r="J37" s="979">
        <f t="shared" ref="J37:AA37" si="31">SUM(J38:J41)</f>
        <v>135789</v>
      </c>
      <c r="K37" s="979">
        <f t="shared" si="31"/>
        <v>0</v>
      </c>
      <c r="L37" s="979">
        <f t="shared" si="31"/>
        <v>0</v>
      </c>
      <c r="M37" s="979">
        <f t="shared" si="31"/>
        <v>135789</v>
      </c>
      <c r="N37" s="979">
        <f t="shared" si="31"/>
        <v>76547</v>
      </c>
      <c r="O37" s="979">
        <f t="shared" si="31"/>
        <v>0</v>
      </c>
      <c r="P37" s="979">
        <f t="shared" si="31"/>
        <v>0</v>
      </c>
      <c r="Q37" s="979">
        <f t="shared" si="31"/>
        <v>76547</v>
      </c>
      <c r="R37" s="979">
        <f t="shared" si="31"/>
        <v>83119</v>
      </c>
      <c r="S37" s="979">
        <f t="shared" si="31"/>
        <v>0</v>
      </c>
      <c r="T37" s="979">
        <f t="shared" si="31"/>
        <v>0</v>
      </c>
      <c r="U37" s="979">
        <f t="shared" si="31"/>
        <v>83119</v>
      </c>
      <c r="V37" s="979">
        <f t="shared" si="31"/>
        <v>59292</v>
      </c>
      <c r="W37" s="979">
        <f>SUM(W38:W41)</f>
        <v>49519</v>
      </c>
      <c r="X37" s="979">
        <f t="shared" si="31"/>
        <v>0</v>
      </c>
      <c r="Y37" s="979">
        <f t="shared" si="31"/>
        <v>0</v>
      </c>
      <c r="Z37" s="979">
        <f t="shared" si="31"/>
        <v>49519</v>
      </c>
      <c r="AA37" s="979">
        <f t="shared" si="31"/>
        <v>0</v>
      </c>
      <c r="AB37" s="980"/>
      <c r="AC37" s="902">
        <f t="shared" si="21"/>
        <v>0</v>
      </c>
    </row>
    <row r="38" spans="1:50" s="8" customFormat="1" ht="39" customHeight="1">
      <c r="A38" s="430" t="s">
        <v>144</v>
      </c>
      <c r="B38" s="438" t="s">
        <v>205</v>
      </c>
      <c r="C38" s="944" t="s">
        <v>203</v>
      </c>
      <c r="D38" s="971">
        <v>8117920</v>
      </c>
      <c r="E38" s="981" t="s">
        <v>192</v>
      </c>
      <c r="F38" s="11" t="s">
        <v>206</v>
      </c>
      <c r="G38" s="439"/>
      <c r="H38" s="428" t="s">
        <v>207</v>
      </c>
      <c r="I38" s="13" t="s">
        <v>208</v>
      </c>
      <c r="J38" s="19">
        <v>14966</v>
      </c>
      <c r="K38" s="19"/>
      <c r="L38" s="19"/>
      <c r="M38" s="19">
        <f>J38</f>
        <v>14966</v>
      </c>
      <c r="N38" s="19">
        <f>O38+P38+Q38</f>
        <v>12000</v>
      </c>
      <c r="O38" s="19"/>
      <c r="P38" s="19"/>
      <c r="Q38" s="19">
        <v>12000</v>
      </c>
      <c r="R38" s="19">
        <f>S38+T38+U38</f>
        <v>12000</v>
      </c>
      <c r="S38" s="19"/>
      <c r="T38" s="19"/>
      <c r="U38" s="19">
        <v>12000</v>
      </c>
      <c r="V38" s="19">
        <v>2966</v>
      </c>
      <c r="W38" s="19">
        <f>SUM(X38:AA38)</f>
        <v>2966</v>
      </c>
      <c r="X38" s="19"/>
      <c r="Y38" s="19"/>
      <c r="Z38" s="19">
        <v>2966</v>
      </c>
      <c r="AA38" s="19"/>
      <c r="AB38" s="21" t="s">
        <v>1622</v>
      </c>
      <c r="AC38" s="380">
        <f t="shared" si="21"/>
        <v>0</v>
      </c>
      <c r="AI38" s="903"/>
      <c r="AJ38" s="903" t="s">
        <v>685</v>
      </c>
      <c r="AK38" s="903"/>
      <c r="AL38" s="903"/>
      <c r="AM38" s="903"/>
      <c r="AN38" s="903"/>
      <c r="AO38" s="903"/>
      <c r="AP38" s="903"/>
      <c r="AQ38" s="903"/>
      <c r="AR38" s="903"/>
      <c r="AS38" s="903"/>
      <c r="AT38" s="903"/>
      <c r="AU38" s="903"/>
      <c r="AV38" s="903"/>
      <c r="AW38" s="903"/>
      <c r="AX38" s="903"/>
    </row>
    <row r="39" spans="1:50" s="8" customFormat="1" ht="39" customHeight="1">
      <c r="A39" s="430" t="s">
        <v>144</v>
      </c>
      <c r="B39" s="438" t="s">
        <v>209</v>
      </c>
      <c r="C39" s="944" t="s">
        <v>203</v>
      </c>
      <c r="D39" s="971">
        <v>8123867</v>
      </c>
      <c r="E39" s="981" t="s">
        <v>210</v>
      </c>
      <c r="F39" s="432" t="s">
        <v>211</v>
      </c>
      <c r="G39" s="439"/>
      <c r="H39" s="428" t="s">
        <v>207</v>
      </c>
      <c r="I39" s="13" t="s">
        <v>212</v>
      </c>
      <c r="J39" s="19">
        <v>28701</v>
      </c>
      <c r="K39" s="19"/>
      <c r="L39" s="19"/>
      <c r="M39" s="19">
        <f>J39</f>
        <v>28701</v>
      </c>
      <c r="N39" s="19">
        <f>O39+P39+Q39</f>
        <v>22550</v>
      </c>
      <c r="O39" s="19"/>
      <c r="P39" s="19"/>
      <c r="Q39" s="19">
        <v>22550</v>
      </c>
      <c r="R39" s="19">
        <f>S39+T39+U39</f>
        <v>22550</v>
      </c>
      <c r="S39" s="19"/>
      <c r="T39" s="19"/>
      <c r="U39" s="407">
        <v>22550</v>
      </c>
      <c r="V39" s="19">
        <v>6201</v>
      </c>
      <c r="W39" s="19">
        <f t="shared" ref="W39:W41" si="32">SUM(X39:AA39)</f>
        <v>3000</v>
      </c>
      <c r="X39" s="19"/>
      <c r="Y39" s="19"/>
      <c r="Z39" s="19">
        <v>3000</v>
      </c>
      <c r="AA39" s="19"/>
      <c r="AB39" s="21" t="s">
        <v>1622</v>
      </c>
      <c r="AC39" s="380">
        <f t="shared" si="21"/>
        <v>0</v>
      </c>
      <c r="AI39" s="903"/>
      <c r="AJ39" s="903" t="s">
        <v>685</v>
      </c>
      <c r="AK39" s="903"/>
      <c r="AL39" s="903"/>
      <c r="AM39" s="903"/>
      <c r="AN39" s="903"/>
      <c r="AO39" s="903"/>
      <c r="AP39" s="903"/>
      <c r="AQ39" s="903"/>
      <c r="AR39" s="903"/>
      <c r="AS39" s="903"/>
      <c r="AT39" s="903"/>
      <c r="AU39" s="903"/>
      <c r="AV39" s="903"/>
      <c r="AW39" s="903"/>
      <c r="AX39" s="903"/>
    </row>
    <row r="40" spans="1:50" s="8" customFormat="1" ht="39" customHeight="1">
      <c r="A40" s="430" t="s">
        <v>144</v>
      </c>
      <c r="B40" s="438" t="s">
        <v>213</v>
      </c>
      <c r="C40" s="944" t="s">
        <v>203</v>
      </c>
      <c r="D40" s="971">
        <v>8118155</v>
      </c>
      <c r="E40" s="981" t="s">
        <v>192</v>
      </c>
      <c r="F40" s="432" t="s">
        <v>211</v>
      </c>
      <c r="G40" s="439"/>
      <c r="H40" s="428" t="s">
        <v>207</v>
      </c>
      <c r="I40" s="13" t="s">
        <v>214</v>
      </c>
      <c r="J40" s="19">
        <v>54622</v>
      </c>
      <c r="K40" s="19"/>
      <c r="L40" s="19"/>
      <c r="M40" s="19">
        <f>J40</f>
        <v>54622</v>
      </c>
      <c r="N40" s="19">
        <f>O40+P40+Q40</f>
        <v>16050</v>
      </c>
      <c r="O40" s="19"/>
      <c r="P40" s="19"/>
      <c r="Q40" s="407">
        <v>16050</v>
      </c>
      <c r="R40" s="19">
        <f>S40+T40+U40</f>
        <v>22622</v>
      </c>
      <c r="S40" s="19"/>
      <c r="T40" s="19"/>
      <c r="U40" s="19">
        <f>44550-21928</f>
        <v>22622</v>
      </c>
      <c r="V40" s="19">
        <v>38572</v>
      </c>
      <c r="W40" s="19">
        <f t="shared" si="32"/>
        <v>32000</v>
      </c>
      <c r="X40" s="19"/>
      <c r="Y40" s="19"/>
      <c r="Z40" s="19">
        <v>32000</v>
      </c>
      <c r="AA40" s="19"/>
      <c r="AB40" s="21" t="s">
        <v>1622</v>
      </c>
      <c r="AC40" s="380">
        <f t="shared" si="21"/>
        <v>0</v>
      </c>
      <c r="AI40" s="903"/>
      <c r="AJ40" s="903" t="s">
        <v>685</v>
      </c>
      <c r="AK40" s="903"/>
      <c r="AL40" s="903"/>
      <c r="AM40" s="903"/>
      <c r="AN40" s="903"/>
      <c r="AO40" s="903"/>
      <c r="AP40" s="903"/>
      <c r="AQ40" s="903"/>
      <c r="AR40" s="903"/>
      <c r="AS40" s="903"/>
      <c r="AT40" s="903"/>
      <c r="AU40" s="903"/>
      <c r="AV40" s="903"/>
      <c r="AW40" s="903"/>
      <c r="AX40" s="903"/>
    </row>
    <row r="41" spans="1:50" s="8" customFormat="1" ht="39" customHeight="1">
      <c r="A41" s="430" t="s">
        <v>144</v>
      </c>
      <c r="B41" s="438" t="s">
        <v>215</v>
      </c>
      <c r="C41" s="944" t="s">
        <v>203</v>
      </c>
      <c r="D41" s="982" t="s">
        <v>216</v>
      </c>
      <c r="E41" s="981" t="s">
        <v>210</v>
      </c>
      <c r="F41" s="432" t="s">
        <v>217</v>
      </c>
      <c r="G41" s="439"/>
      <c r="H41" s="428" t="s">
        <v>207</v>
      </c>
      <c r="I41" s="13" t="s">
        <v>218</v>
      </c>
      <c r="J41" s="19">
        <v>37500</v>
      </c>
      <c r="K41" s="19"/>
      <c r="L41" s="19"/>
      <c r="M41" s="19">
        <f>J41</f>
        <v>37500</v>
      </c>
      <c r="N41" s="19">
        <f>O41+P41+Q41</f>
        <v>25947</v>
      </c>
      <c r="O41" s="19"/>
      <c r="P41" s="19"/>
      <c r="Q41" s="19">
        <v>25947</v>
      </c>
      <c r="R41" s="19">
        <f>S41+T41+U41</f>
        <v>25947</v>
      </c>
      <c r="S41" s="19"/>
      <c r="T41" s="19"/>
      <c r="U41" s="407">
        <f>36173-10226</f>
        <v>25947</v>
      </c>
      <c r="V41" s="19">
        <v>11553</v>
      </c>
      <c r="W41" s="19">
        <f t="shared" si="32"/>
        <v>11553</v>
      </c>
      <c r="X41" s="19"/>
      <c r="Y41" s="19"/>
      <c r="Z41" s="19">
        <v>11553</v>
      </c>
      <c r="AA41" s="19"/>
      <c r="AB41" s="21" t="s">
        <v>1622</v>
      </c>
      <c r="AC41" s="380">
        <f t="shared" si="21"/>
        <v>0</v>
      </c>
      <c r="AI41" s="903"/>
      <c r="AJ41" s="903" t="s">
        <v>685</v>
      </c>
      <c r="AK41" s="903"/>
      <c r="AL41" s="903"/>
      <c r="AM41" s="903"/>
      <c r="AN41" s="903"/>
      <c r="AO41" s="903"/>
      <c r="AP41" s="903"/>
      <c r="AQ41" s="903"/>
      <c r="AR41" s="903"/>
      <c r="AS41" s="903"/>
      <c r="AT41" s="903"/>
      <c r="AU41" s="903"/>
      <c r="AV41" s="903"/>
      <c r="AW41" s="903"/>
      <c r="AX41" s="903"/>
    </row>
    <row r="42" spans="1:50" s="911" customFormat="1" ht="39" customHeight="1">
      <c r="A42" s="916" t="s">
        <v>1306</v>
      </c>
      <c r="B42" s="934" t="s">
        <v>1307</v>
      </c>
      <c r="C42" s="944" t="s">
        <v>203</v>
      </c>
      <c r="D42" s="983"/>
      <c r="E42" s="984"/>
      <c r="F42" s="985"/>
      <c r="G42" s="986"/>
      <c r="H42" s="987"/>
      <c r="I42" s="937"/>
      <c r="J42" s="941"/>
      <c r="K42" s="941"/>
      <c r="L42" s="941"/>
      <c r="M42" s="941"/>
      <c r="N42" s="941"/>
      <c r="O42" s="941"/>
      <c r="P42" s="941"/>
      <c r="Q42" s="941"/>
      <c r="R42" s="941"/>
      <c r="S42" s="941"/>
      <c r="T42" s="941"/>
      <c r="U42" s="941"/>
      <c r="V42" s="941"/>
      <c r="W42" s="941"/>
      <c r="X42" s="941"/>
      <c r="Y42" s="941"/>
      <c r="Z42" s="941"/>
      <c r="AA42" s="941"/>
      <c r="AB42" s="915"/>
      <c r="AC42" s="902">
        <f t="shared" si="21"/>
        <v>0</v>
      </c>
    </row>
    <row r="43" spans="1:50" s="903" customFormat="1" ht="34.5" customHeight="1">
      <c r="A43" s="895">
        <v>3</v>
      </c>
      <c r="B43" s="988" t="s">
        <v>235</v>
      </c>
      <c r="C43" s="958" t="s">
        <v>235</v>
      </c>
      <c r="D43" s="898"/>
      <c r="E43" s="898"/>
      <c r="F43" s="898"/>
      <c r="G43" s="898"/>
      <c r="H43" s="898"/>
      <c r="I43" s="899"/>
      <c r="J43" s="900">
        <f t="shared" ref="J43:AA43" si="33">+J44</f>
        <v>25405</v>
      </c>
      <c r="K43" s="900">
        <f t="shared" si="33"/>
        <v>0</v>
      </c>
      <c r="L43" s="900">
        <f t="shared" si="33"/>
        <v>0</v>
      </c>
      <c r="M43" s="900">
        <f t="shared" si="33"/>
        <v>25405</v>
      </c>
      <c r="N43" s="900">
        <f t="shared" si="33"/>
        <v>23755</v>
      </c>
      <c r="O43" s="900">
        <f t="shared" si="33"/>
        <v>0</v>
      </c>
      <c r="P43" s="900">
        <f t="shared" si="33"/>
        <v>0</v>
      </c>
      <c r="Q43" s="900">
        <f t="shared" si="33"/>
        <v>23755</v>
      </c>
      <c r="R43" s="900">
        <f t="shared" si="33"/>
        <v>23868</v>
      </c>
      <c r="S43" s="900">
        <f t="shared" si="33"/>
        <v>0</v>
      </c>
      <c r="T43" s="900">
        <f t="shared" si="33"/>
        <v>0</v>
      </c>
      <c r="U43" s="900">
        <f t="shared" si="33"/>
        <v>23868</v>
      </c>
      <c r="V43" s="900">
        <f t="shared" si="33"/>
        <v>113</v>
      </c>
      <c r="W43" s="900">
        <f t="shared" si="33"/>
        <v>113</v>
      </c>
      <c r="X43" s="900">
        <f t="shared" si="33"/>
        <v>0</v>
      </c>
      <c r="Y43" s="900">
        <f t="shared" si="33"/>
        <v>0</v>
      </c>
      <c r="Z43" s="900">
        <f t="shared" si="33"/>
        <v>113</v>
      </c>
      <c r="AA43" s="900">
        <f t="shared" si="33"/>
        <v>0</v>
      </c>
      <c r="AB43" s="901"/>
      <c r="AC43" s="902">
        <f t="shared" si="21"/>
        <v>0</v>
      </c>
    </row>
    <row r="44" spans="1:50" s="951" customFormat="1" ht="34.5" customHeight="1">
      <c r="A44" s="989" t="s">
        <v>1290</v>
      </c>
      <c r="B44" s="990" t="s">
        <v>38</v>
      </c>
      <c r="C44" s="958" t="s">
        <v>235</v>
      </c>
      <c r="D44" s="991"/>
      <c r="E44" s="991"/>
      <c r="F44" s="991"/>
      <c r="G44" s="991"/>
      <c r="H44" s="991"/>
      <c r="I44" s="992"/>
      <c r="J44" s="909">
        <f t="shared" ref="J44:AA44" si="34">+J45+J49+J50</f>
        <v>25405</v>
      </c>
      <c r="K44" s="909">
        <f t="shared" si="34"/>
        <v>0</v>
      </c>
      <c r="L44" s="909">
        <f t="shared" si="34"/>
        <v>0</v>
      </c>
      <c r="M44" s="909">
        <f t="shared" si="34"/>
        <v>25405</v>
      </c>
      <c r="N44" s="909">
        <f t="shared" si="34"/>
        <v>23755</v>
      </c>
      <c r="O44" s="909">
        <f t="shared" si="34"/>
        <v>0</v>
      </c>
      <c r="P44" s="909">
        <f t="shared" si="34"/>
        <v>0</v>
      </c>
      <c r="Q44" s="909">
        <f t="shared" si="34"/>
        <v>23755</v>
      </c>
      <c r="R44" s="909">
        <f t="shared" si="34"/>
        <v>23868</v>
      </c>
      <c r="S44" s="909">
        <f t="shared" si="34"/>
        <v>0</v>
      </c>
      <c r="T44" s="909">
        <f t="shared" si="34"/>
        <v>0</v>
      </c>
      <c r="U44" s="909">
        <f t="shared" si="34"/>
        <v>23868</v>
      </c>
      <c r="V44" s="909">
        <f t="shared" si="34"/>
        <v>113</v>
      </c>
      <c r="W44" s="909">
        <f t="shared" si="34"/>
        <v>113</v>
      </c>
      <c r="X44" s="909">
        <f t="shared" si="34"/>
        <v>0</v>
      </c>
      <c r="Y44" s="909">
        <f t="shared" si="34"/>
        <v>0</v>
      </c>
      <c r="Z44" s="909">
        <f t="shared" si="34"/>
        <v>113</v>
      </c>
      <c r="AA44" s="909">
        <f t="shared" si="34"/>
        <v>0</v>
      </c>
      <c r="AB44" s="910"/>
      <c r="AC44" s="902">
        <f t="shared" si="21"/>
        <v>0</v>
      </c>
    </row>
    <row r="45" spans="1:50" s="911" customFormat="1" ht="32.25" customHeight="1">
      <c r="A45" s="993" t="s">
        <v>39</v>
      </c>
      <c r="B45" s="913" t="s">
        <v>1254</v>
      </c>
      <c r="C45" s="958" t="s">
        <v>235</v>
      </c>
      <c r="D45" s="908"/>
      <c r="E45" s="908"/>
      <c r="F45" s="908"/>
      <c r="G45" s="908"/>
      <c r="H45" s="908"/>
      <c r="I45" s="907"/>
      <c r="J45" s="914">
        <f t="shared" ref="J45:AA45" si="35">+SUM(J46:J48)</f>
        <v>25405</v>
      </c>
      <c r="K45" s="914">
        <f t="shared" si="35"/>
        <v>0</v>
      </c>
      <c r="L45" s="914">
        <f t="shared" si="35"/>
        <v>0</v>
      </c>
      <c r="M45" s="914">
        <f t="shared" si="35"/>
        <v>25405</v>
      </c>
      <c r="N45" s="914">
        <f t="shared" si="35"/>
        <v>23755</v>
      </c>
      <c r="O45" s="914">
        <f t="shared" si="35"/>
        <v>0</v>
      </c>
      <c r="P45" s="914">
        <f t="shared" si="35"/>
        <v>0</v>
      </c>
      <c r="Q45" s="914">
        <f t="shared" si="35"/>
        <v>23755</v>
      </c>
      <c r="R45" s="914">
        <f t="shared" si="35"/>
        <v>23868</v>
      </c>
      <c r="S45" s="914">
        <f t="shared" si="35"/>
        <v>0</v>
      </c>
      <c r="T45" s="914">
        <f t="shared" si="35"/>
        <v>0</v>
      </c>
      <c r="U45" s="914">
        <f t="shared" si="35"/>
        <v>23868</v>
      </c>
      <c r="V45" s="914">
        <f t="shared" si="35"/>
        <v>113</v>
      </c>
      <c r="W45" s="914">
        <f>+SUM(W46:W48)</f>
        <v>113</v>
      </c>
      <c r="X45" s="914">
        <f t="shared" si="35"/>
        <v>0</v>
      </c>
      <c r="Y45" s="914">
        <f t="shared" si="35"/>
        <v>0</v>
      </c>
      <c r="Z45" s="914">
        <f t="shared" si="35"/>
        <v>113</v>
      </c>
      <c r="AA45" s="914">
        <f t="shared" si="35"/>
        <v>0</v>
      </c>
      <c r="AB45" s="915"/>
      <c r="AC45" s="902">
        <f t="shared" si="21"/>
        <v>0</v>
      </c>
    </row>
    <row r="46" spans="1:50" s="903" customFormat="1" ht="75">
      <c r="A46" s="965" t="s">
        <v>144</v>
      </c>
      <c r="B46" s="917" t="s">
        <v>471</v>
      </c>
      <c r="C46" s="958" t="s">
        <v>235</v>
      </c>
      <c r="D46" s="904">
        <v>7923078</v>
      </c>
      <c r="E46" s="981" t="s">
        <v>210</v>
      </c>
      <c r="F46" s="994" t="s">
        <v>236</v>
      </c>
      <c r="G46" s="904" t="s">
        <v>186</v>
      </c>
      <c r="H46" s="995" t="s">
        <v>472</v>
      </c>
      <c r="I46" s="995" t="s">
        <v>473</v>
      </c>
      <c r="J46" s="996">
        <v>9110</v>
      </c>
      <c r="K46" s="969"/>
      <c r="L46" s="969"/>
      <c r="M46" s="996">
        <v>9110</v>
      </c>
      <c r="N46" s="929">
        <f>O46+P46+Q46</f>
        <v>8586</v>
      </c>
      <c r="O46" s="969"/>
      <c r="P46" s="969"/>
      <c r="Q46" s="923">
        <f>8625-39</f>
        <v>8586</v>
      </c>
      <c r="R46" s="929">
        <f>S46+T46+U46</f>
        <v>8625</v>
      </c>
      <c r="S46" s="969"/>
      <c r="T46" s="969"/>
      <c r="U46" s="923">
        <f>8625</f>
        <v>8625</v>
      </c>
      <c r="V46" s="923">
        <v>39</v>
      </c>
      <c r="W46" s="914">
        <f t="shared" ref="W46:W48" si="36">SUM(X46:AA46)</f>
        <v>39</v>
      </c>
      <c r="X46" s="923"/>
      <c r="Y46" s="923"/>
      <c r="Z46" s="923">
        <v>39</v>
      </c>
      <c r="AA46" s="923"/>
      <c r="AB46" s="930" t="s">
        <v>1308</v>
      </c>
      <c r="AC46" s="902">
        <f t="shared" si="21"/>
        <v>0</v>
      </c>
      <c r="AJ46" s="925" t="s">
        <v>1308</v>
      </c>
    </row>
    <row r="47" spans="1:50" s="903" customFormat="1" ht="64.5" customHeight="1">
      <c r="A47" s="965" t="s">
        <v>144</v>
      </c>
      <c r="B47" s="917" t="s">
        <v>474</v>
      </c>
      <c r="C47" s="958" t="s">
        <v>235</v>
      </c>
      <c r="D47" s="931" t="s">
        <v>475</v>
      </c>
      <c r="E47" s="981" t="s">
        <v>192</v>
      </c>
      <c r="F47" s="994" t="s">
        <v>236</v>
      </c>
      <c r="G47" s="904" t="s">
        <v>186</v>
      </c>
      <c r="H47" s="995" t="s">
        <v>476</v>
      </c>
      <c r="I47" s="997" t="s">
        <v>477</v>
      </c>
      <c r="J47" s="922">
        <v>9344</v>
      </c>
      <c r="K47" s="969"/>
      <c r="L47" s="969"/>
      <c r="M47" s="922">
        <v>9344</v>
      </c>
      <c r="N47" s="929">
        <f>O47+P47+Q47</f>
        <v>8805.5</v>
      </c>
      <c r="O47" s="969"/>
      <c r="P47" s="969"/>
      <c r="Q47" s="923">
        <f>8782.5+62-39</f>
        <v>8805.5</v>
      </c>
      <c r="R47" s="929">
        <f>S47+T47+U47</f>
        <v>8844.5</v>
      </c>
      <c r="S47" s="969"/>
      <c r="T47" s="969"/>
      <c r="U47" s="923">
        <f>8782.5+62</f>
        <v>8844.5</v>
      </c>
      <c r="V47" s="923">
        <v>39</v>
      </c>
      <c r="W47" s="914">
        <f t="shared" si="36"/>
        <v>39</v>
      </c>
      <c r="X47" s="923"/>
      <c r="Y47" s="923"/>
      <c r="Z47" s="923">
        <v>39</v>
      </c>
      <c r="AA47" s="923"/>
      <c r="AB47" s="930" t="s">
        <v>1308</v>
      </c>
      <c r="AC47" s="902">
        <f t="shared" si="21"/>
        <v>0</v>
      </c>
      <c r="AJ47" s="925" t="s">
        <v>1308</v>
      </c>
    </row>
    <row r="48" spans="1:50" s="903" customFormat="1" ht="57" customHeight="1">
      <c r="A48" s="965" t="s">
        <v>144</v>
      </c>
      <c r="B48" s="917" t="s">
        <v>478</v>
      </c>
      <c r="C48" s="958" t="s">
        <v>235</v>
      </c>
      <c r="D48" s="931" t="s">
        <v>479</v>
      </c>
      <c r="E48" s="981" t="s">
        <v>185</v>
      </c>
      <c r="F48" s="994" t="s">
        <v>236</v>
      </c>
      <c r="G48" s="904" t="s">
        <v>186</v>
      </c>
      <c r="H48" s="995" t="s">
        <v>476</v>
      </c>
      <c r="I48" s="997" t="s">
        <v>480</v>
      </c>
      <c r="J48" s="922">
        <v>6951</v>
      </c>
      <c r="K48" s="969"/>
      <c r="L48" s="969"/>
      <c r="M48" s="922">
        <v>6951</v>
      </c>
      <c r="N48" s="929">
        <f>O48+P48+Q48</f>
        <v>6363.5</v>
      </c>
      <c r="O48" s="969"/>
      <c r="P48" s="969"/>
      <c r="Q48" s="923">
        <f>6349.5+49-35</f>
        <v>6363.5</v>
      </c>
      <c r="R48" s="929">
        <f>S48+T48+U48</f>
        <v>6398.5</v>
      </c>
      <c r="S48" s="969"/>
      <c r="T48" s="969"/>
      <c r="U48" s="923">
        <f>6349.5+49</f>
        <v>6398.5</v>
      </c>
      <c r="V48" s="929">
        <v>35</v>
      </c>
      <c r="W48" s="914">
        <f t="shared" si="36"/>
        <v>35</v>
      </c>
      <c r="X48" s="923"/>
      <c r="Y48" s="923"/>
      <c r="Z48" s="923">
        <v>35</v>
      </c>
      <c r="AA48" s="923"/>
      <c r="AB48" s="930" t="s">
        <v>1308</v>
      </c>
      <c r="AC48" s="902">
        <f t="shared" si="21"/>
        <v>0</v>
      </c>
      <c r="AJ48" s="925" t="s">
        <v>1308</v>
      </c>
    </row>
    <row r="49" spans="1:50" s="911" customFormat="1" ht="46.5" customHeight="1">
      <c r="A49" s="916" t="s">
        <v>467</v>
      </c>
      <c r="B49" s="926" t="s">
        <v>183</v>
      </c>
      <c r="C49" s="958" t="s">
        <v>235</v>
      </c>
      <c r="D49" s="998"/>
      <c r="E49" s="984"/>
      <c r="F49" s="999"/>
      <c r="G49" s="937"/>
      <c r="H49" s="1000"/>
      <c r="I49" s="1001"/>
      <c r="J49" s="914"/>
      <c r="K49" s="914"/>
      <c r="L49" s="914"/>
      <c r="M49" s="914"/>
      <c r="N49" s="914"/>
      <c r="O49" s="914"/>
      <c r="P49" s="914"/>
      <c r="Q49" s="914"/>
      <c r="R49" s="914"/>
      <c r="S49" s="914"/>
      <c r="T49" s="914"/>
      <c r="U49" s="914"/>
      <c r="V49" s="914"/>
      <c r="W49" s="914"/>
      <c r="X49" s="914"/>
      <c r="Y49" s="914"/>
      <c r="Z49" s="914"/>
      <c r="AA49" s="914"/>
      <c r="AB49" s="915"/>
      <c r="AC49" s="902">
        <f t="shared" si="21"/>
        <v>0</v>
      </c>
    </row>
    <row r="50" spans="1:50" s="911" customFormat="1" ht="23.25" customHeight="1">
      <c r="A50" s="916" t="s">
        <v>1306</v>
      </c>
      <c r="B50" s="934" t="s">
        <v>1307</v>
      </c>
      <c r="C50" s="958" t="s">
        <v>235</v>
      </c>
      <c r="D50" s="998"/>
      <c r="E50" s="984"/>
      <c r="F50" s="999"/>
      <c r="G50" s="937"/>
      <c r="H50" s="1000"/>
      <c r="I50" s="1001"/>
      <c r="J50" s="914"/>
      <c r="K50" s="979"/>
      <c r="L50" s="979"/>
      <c r="M50" s="914"/>
      <c r="N50" s="955"/>
      <c r="O50" s="979"/>
      <c r="P50" s="979"/>
      <c r="Q50" s="1002"/>
      <c r="R50" s="955"/>
      <c r="S50" s="979"/>
      <c r="T50" s="979"/>
      <c r="U50" s="1002"/>
      <c r="V50" s="1002"/>
      <c r="W50" s="1002"/>
      <c r="X50" s="1002"/>
      <c r="Y50" s="1002"/>
      <c r="Z50" s="1002"/>
      <c r="AA50" s="1002"/>
      <c r="AB50" s="938"/>
      <c r="AC50" s="902">
        <f t="shared" si="21"/>
        <v>0</v>
      </c>
    </row>
    <row r="51" spans="1:50" s="964" customFormat="1" ht="33.75" customHeight="1">
      <c r="A51" s="895">
        <v>4</v>
      </c>
      <c r="B51" s="1003" t="s">
        <v>237</v>
      </c>
      <c r="C51" s="1004" t="s">
        <v>237</v>
      </c>
      <c r="D51" s="1005"/>
      <c r="E51" s="1005"/>
      <c r="F51" s="1005"/>
      <c r="G51" s="1005"/>
      <c r="H51" s="1005"/>
      <c r="I51" s="1006"/>
      <c r="J51" s="900">
        <f t="shared" ref="J51:AA51" si="37">+J52</f>
        <v>71577</v>
      </c>
      <c r="K51" s="900">
        <f t="shared" si="37"/>
        <v>0</v>
      </c>
      <c r="L51" s="900">
        <f t="shared" si="37"/>
        <v>0</v>
      </c>
      <c r="M51" s="900">
        <f t="shared" si="37"/>
        <v>71577</v>
      </c>
      <c r="N51" s="900">
        <f t="shared" si="37"/>
        <v>47270</v>
      </c>
      <c r="O51" s="900">
        <f t="shared" si="37"/>
        <v>0</v>
      </c>
      <c r="P51" s="900">
        <f t="shared" si="37"/>
        <v>0</v>
      </c>
      <c r="Q51" s="900">
        <f t="shared" si="37"/>
        <v>47270</v>
      </c>
      <c r="R51" s="900">
        <f t="shared" si="37"/>
        <v>31448</v>
      </c>
      <c r="S51" s="900">
        <f t="shared" si="37"/>
        <v>0</v>
      </c>
      <c r="T51" s="900">
        <f t="shared" si="37"/>
        <v>0</v>
      </c>
      <c r="U51" s="900">
        <f t="shared" si="37"/>
        <v>31448</v>
      </c>
      <c r="V51" s="900">
        <f t="shared" si="37"/>
        <v>40000</v>
      </c>
      <c r="W51" s="900">
        <f t="shared" si="37"/>
        <v>40000</v>
      </c>
      <c r="X51" s="900">
        <f t="shared" si="37"/>
        <v>0</v>
      </c>
      <c r="Y51" s="900">
        <f t="shared" si="37"/>
        <v>0</v>
      </c>
      <c r="Z51" s="900">
        <f t="shared" si="37"/>
        <v>40000</v>
      </c>
      <c r="AA51" s="900">
        <f t="shared" si="37"/>
        <v>0</v>
      </c>
      <c r="AB51" s="901"/>
      <c r="AC51" s="902">
        <f t="shared" si="21"/>
        <v>0</v>
      </c>
    </row>
    <row r="52" spans="1:50" s="911" customFormat="1" ht="21.75" customHeight="1">
      <c r="A52" s="905" t="s">
        <v>1309</v>
      </c>
      <c r="B52" s="906" t="s">
        <v>38</v>
      </c>
      <c r="C52" s="1004" t="s">
        <v>237</v>
      </c>
      <c r="D52" s="948"/>
      <c r="E52" s="906"/>
      <c r="F52" s="946"/>
      <c r="G52" s="946"/>
      <c r="H52" s="947"/>
      <c r="I52" s="948"/>
      <c r="J52" s="1007">
        <f t="shared" ref="J52:AA52" si="38">+J54+J57+J53</f>
        <v>71577</v>
      </c>
      <c r="K52" s="1007">
        <f t="shared" si="38"/>
        <v>0</v>
      </c>
      <c r="L52" s="1007">
        <f t="shared" si="38"/>
        <v>0</v>
      </c>
      <c r="M52" s="1007">
        <f t="shared" si="38"/>
        <v>71577</v>
      </c>
      <c r="N52" s="1007">
        <f t="shared" si="38"/>
        <v>47270</v>
      </c>
      <c r="O52" s="1007">
        <f t="shared" si="38"/>
        <v>0</v>
      </c>
      <c r="P52" s="1007">
        <f t="shared" si="38"/>
        <v>0</v>
      </c>
      <c r="Q52" s="1007">
        <f t="shared" si="38"/>
        <v>47270</v>
      </c>
      <c r="R52" s="1007">
        <f t="shared" si="38"/>
        <v>31448</v>
      </c>
      <c r="S52" s="1007">
        <f t="shared" si="38"/>
        <v>0</v>
      </c>
      <c r="T52" s="1007">
        <f t="shared" si="38"/>
        <v>0</v>
      </c>
      <c r="U52" s="1007">
        <f t="shared" si="38"/>
        <v>31448</v>
      </c>
      <c r="V52" s="1007">
        <f t="shared" si="38"/>
        <v>40000</v>
      </c>
      <c r="W52" s="1007">
        <f t="shared" si="38"/>
        <v>40000</v>
      </c>
      <c r="X52" s="1007">
        <f t="shared" si="38"/>
        <v>0</v>
      </c>
      <c r="Y52" s="1007">
        <f t="shared" si="38"/>
        <v>0</v>
      </c>
      <c r="Z52" s="1007">
        <f t="shared" si="38"/>
        <v>40000</v>
      </c>
      <c r="AA52" s="1007">
        <f t="shared" si="38"/>
        <v>0</v>
      </c>
      <c r="AB52" s="1008"/>
      <c r="AC52" s="902">
        <f t="shared" si="21"/>
        <v>0</v>
      </c>
    </row>
    <row r="53" spans="1:50" s="911" customFormat="1" ht="32.25" customHeight="1">
      <c r="A53" s="912" t="s">
        <v>39</v>
      </c>
      <c r="B53" s="913" t="s">
        <v>1254</v>
      </c>
      <c r="C53" s="1004" t="s">
        <v>237</v>
      </c>
      <c r="D53" s="948"/>
      <c r="E53" s="906"/>
      <c r="F53" s="946"/>
      <c r="G53" s="946"/>
      <c r="H53" s="947"/>
      <c r="I53" s="948"/>
      <c r="J53" s="1007"/>
      <c r="K53" s="1007"/>
      <c r="L53" s="1007"/>
      <c r="M53" s="1007"/>
      <c r="N53" s="1007"/>
      <c r="O53" s="1007"/>
      <c r="P53" s="1007"/>
      <c r="Q53" s="1007"/>
      <c r="R53" s="1007"/>
      <c r="S53" s="1007"/>
      <c r="T53" s="1007"/>
      <c r="U53" s="1007"/>
      <c r="V53" s="1007"/>
      <c r="W53" s="1007"/>
      <c r="X53" s="1007"/>
      <c r="Y53" s="1007"/>
      <c r="Z53" s="1007"/>
      <c r="AA53" s="1007"/>
      <c r="AB53" s="1008"/>
      <c r="AC53" s="902">
        <f t="shared" si="21"/>
        <v>0</v>
      </c>
    </row>
    <row r="54" spans="1:50" s="911" customFormat="1" ht="55.5" customHeight="1">
      <c r="A54" s="912" t="s">
        <v>467</v>
      </c>
      <c r="B54" s="926" t="s">
        <v>183</v>
      </c>
      <c r="C54" s="1004" t="s">
        <v>237</v>
      </c>
      <c r="D54" s="978"/>
      <c r="E54" s="926"/>
      <c r="F54" s="953"/>
      <c r="G54" s="953"/>
      <c r="H54" s="954"/>
      <c r="I54" s="937"/>
      <c r="J54" s="979">
        <f t="shared" ref="J54:AA54" si="39">SUM(J55:J56)</f>
        <v>71577</v>
      </c>
      <c r="K54" s="979">
        <f t="shared" si="39"/>
        <v>0</v>
      </c>
      <c r="L54" s="979">
        <f t="shared" si="39"/>
        <v>0</v>
      </c>
      <c r="M54" s="979">
        <f t="shared" si="39"/>
        <v>71577</v>
      </c>
      <c r="N54" s="979">
        <f t="shared" si="39"/>
        <v>47270</v>
      </c>
      <c r="O54" s="979">
        <f t="shared" si="39"/>
        <v>0</v>
      </c>
      <c r="P54" s="979">
        <f t="shared" si="39"/>
        <v>0</v>
      </c>
      <c r="Q54" s="979">
        <f t="shared" si="39"/>
        <v>47270</v>
      </c>
      <c r="R54" s="979">
        <f t="shared" si="39"/>
        <v>31448</v>
      </c>
      <c r="S54" s="979">
        <f t="shared" si="39"/>
        <v>0</v>
      </c>
      <c r="T54" s="979">
        <f t="shared" si="39"/>
        <v>0</v>
      </c>
      <c r="U54" s="979">
        <f t="shared" si="39"/>
        <v>31448</v>
      </c>
      <c r="V54" s="979">
        <f t="shared" si="39"/>
        <v>40000</v>
      </c>
      <c r="W54" s="979">
        <f>SUM(W55:W56)</f>
        <v>40000</v>
      </c>
      <c r="X54" s="979">
        <f t="shared" si="39"/>
        <v>0</v>
      </c>
      <c r="Y54" s="979">
        <f t="shared" si="39"/>
        <v>0</v>
      </c>
      <c r="Z54" s="979">
        <f t="shared" si="39"/>
        <v>40000</v>
      </c>
      <c r="AA54" s="979">
        <f t="shared" si="39"/>
        <v>0</v>
      </c>
      <c r="AB54" s="980"/>
      <c r="AC54" s="902">
        <f t="shared" si="21"/>
        <v>0</v>
      </c>
    </row>
    <row r="55" spans="1:50" s="8" customFormat="1" ht="55.5" customHeight="1">
      <c r="A55" s="430" t="s">
        <v>144</v>
      </c>
      <c r="B55" s="455" t="s">
        <v>238</v>
      </c>
      <c r="C55" s="1004" t="s">
        <v>237</v>
      </c>
      <c r="D55" s="1010">
        <v>7927061</v>
      </c>
      <c r="E55" s="1010" t="s">
        <v>185</v>
      </c>
      <c r="F55" s="18" t="s">
        <v>239</v>
      </c>
      <c r="G55" s="11" t="s">
        <v>186</v>
      </c>
      <c r="H55" s="309" t="s">
        <v>240</v>
      </c>
      <c r="I55" s="99" t="s">
        <v>241</v>
      </c>
      <c r="J55" s="457">
        <f>SUM(K55:M55)</f>
        <v>36120</v>
      </c>
      <c r="K55" s="12"/>
      <c r="L55" s="12"/>
      <c r="M55" s="457">
        <v>36120</v>
      </c>
      <c r="N55" s="12">
        <f>SUM(O55:Q55)</f>
        <v>12790</v>
      </c>
      <c r="O55" s="12"/>
      <c r="P55" s="12"/>
      <c r="Q55" s="24">
        <v>12790</v>
      </c>
      <c r="R55" s="24">
        <f>SUM(S55:U55)</f>
        <v>8542</v>
      </c>
      <c r="S55" s="12"/>
      <c r="T55" s="12"/>
      <c r="U55" s="24">
        <v>8542</v>
      </c>
      <c r="V55" s="407">
        <v>27500</v>
      </c>
      <c r="W55" s="12">
        <f>SUM(X55:AA55)</f>
        <v>27500</v>
      </c>
      <c r="X55" s="12"/>
      <c r="Y55" s="12"/>
      <c r="Z55" s="12">
        <v>27500</v>
      </c>
      <c r="AA55" s="12"/>
      <c r="AB55" s="91" t="s">
        <v>1639</v>
      </c>
      <c r="AC55" s="380">
        <f t="shared" si="21"/>
        <v>0</v>
      </c>
      <c r="AI55" s="903"/>
      <c r="AJ55" s="925" t="s">
        <v>685</v>
      </c>
      <c r="AK55" s="903"/>
      <c r="AL55" s="903"/>
      <c r="AM55" s="903"/>
      <c r="AN55" s="903"/>
      <c r="AO55" s="903"/>
      <c r="AP55" s="903"/>
      <c r="AQ55" s="903"/>
      <c r="AR55" s="903"/>
      <c r="AS55" s="903"/>
      <c r="AT55" s="903"/>
      <c r="AU55" s="903"/>
      <c r="AV55" s="903"/>
      <c r="AW55" s="903"/>
      <c r="AX55" s="903"/>
    </row>
    <row r="56" spans="1:50" s="8" customFormat="1" ht="55.5" customHeight="1">
      <c r="A56" s="430" t="s">
        <v>144</v>
      </c>
      <c r="B56" s="455" t="s">
        <v>242</v>
      </c>
      <c r="C56" s="1004" t="s">
        <v>237</v>
      </c>
      <c r="D56" s="1010">
        <v>7927062</v>
      </c>
      <c r="E56" s="1011" t="s">
        <v>210</v>
      </c>
      <c r="F56" s="18" t="s">
        <v>243</v>
      </c>
      <c r="G56" s="11" t="s">
        <v>186</v>
      </c>
      <c r="H56" s="309" t="s">
        <v>244</v>
      </c>
      <c r="I56" s="99" t="s">
        <v>245</v>
      </c>
      <c r="J56" s="457">
        <f>SUM(K56:M56)</f>
        <v>35457</v>
      </c>
      <c r="K56" s="12"/>
      <c r="L56" s="12"/>
      <c r="M56" s="457">
        <v>35457</v>
      </c>
      <c r="N56" s="12">
        <f>SUM(O56:Q56)</f>
        <v>34480</v>
      </c>
      <c r="O56" s="12"/>
      <c r="P56" s="12"/>
      <c r="Q56" s="24">
        <v>34480</v>
      </c>
      <c r="R56" s="24">
        <f>SUM(S56:U56)</f>
        <v>22906</v>
      </c>
      <c r="S56" s="12"/>
      <c r="T56" s="12"/>
      <c r="U56" s="24">
        <v>22906</v>
      </c>
      <c r="V56" s="407">
        <v>12500</v>
      </c>
      <c r="W56" s="12">
        <f>SUM(X56:AA56)</f>
        <v>12500</v>
      </c>
      <c r="X56" s="12"/>
      <c r="Y56" s="12"/>
      <c r="Z56" s="12">
        <v>12500</v>
      </c>
      <c r="AA56" s="12"/>
      <c r="AB56" s="91" t="s">
        <v>1622</v>
      </c>
      <c r="AC56" s="380">
        <f t="shared" si="21"/>
        <v>0</v>
      </c>
      <c r="AI56" s="903"/>
      <c r="AJ56" s="925" t="s">
        <v>685</v>
      </c>
      <c r="AK56" s="903"/>
      <c r="AL56" s="903"/>
      <c r="AM56" s="903"/>
      <c r="AN56" s="903"/>
      <c r="AO56" s="903"/>
      <c r="AP56" s="903"/>
      <c r="AQ56" s="903"/>
      <c r="AR56" s="903"/>
      <c r="AS56" s="903"/>
      <c r="AT56" s="903"/>
      <c r="AU56" s="903"/>
      <c r="AV56" s="903"/>
      <c r="AW56" s="903"/>
      <c r="AX56" s="903"/>
    </row>
    <row r="57" spans="1:50" s="911" customFormat="1" ht="28.5" customHeight="1">
      <c r="A57" s="916" t="s">
        <v>1306</v>
      </c>
      <c r="B57" s="934" t="s">
        <v>1307</v>
      </c>
      <c r="C57" s="1004" t="s">
        <v>237</v>
      </c>
      <c r="D57" s="1012"/>
      <c r="E57" s="1013"/>
      <c r="F57" s="1014"/>
      <c r="G57" s="953"/>
      <c r="H57" s="954"/>
      <c r="I57" s="1015"/>
      <c r="J57" s="1016"/>
      <c r="K57" s="1016"/>
      <c r="L57" s="1016"/>
      <c r="M57" s="1016"/>
      <c r="N57" s="1016"/>
      <c r="O57" s="1016"/>
      <c r="P57" s="1016"/>
      <c r="Q57" s="1016"/>
      <c r="R57" s="1016"/>
      <c r="S57" s="1016"/>
      <c r="T57" s="1016"/>
      <c r="U57" s="1016"/>
      <c r="V57" s="1016"/>
      <c r="W57" s="1016"/>
      <c r="X57" s="1016"/>
      <c r="Y57" s="1016"/>
      <c r="Z57" s="1016"/>
      <c r="AA57" s="1016"/>
      <c r="AB57" s="1017"/>
      <c r="AC57" s="902">
        <f t="shared" si="21"/>
        <v>0</v>
      </c>
    </row>
    <row r="58" spans="1:50" s="964" customFormat="1" ht="39" customHeight="1">
      <c r="A58" s="957" t="s">
        <v>1372</v>
      </c>
      <c r="B58" s="1018" t="s">
        <v>425</v>
      </c>
      <c r="C58" s="1009" t="s">
        <v>425</v>
      </c>
      <c r="D58" s="1019"/>
      <c r="E58" s="1020"/>
      <c r="F58" s="1021"/>
      <c r="G58" s="1022"/>
      <c r="H58" s="1023"/>
      <c r="I58" s="1024"/>
      <c r="J58" s="1025">
        <f t="shared" ref="J58:AA58" si="40">+J59</f>
        <v>31626</v>
      </c>
      <c r="K58" s="1025">
        <f t="shared" si="40"/>
        <v>0</v>
      </c>
      <c r="L58" s="1025">
        <f t="shared" si="40"/>
        <v>0</v>
      </c>
      <c r="M58" s="1025">
        <f t="shared" si="40"/>
        <v>31626</v>
      </c>
      <c r="N58" s="1025">
        <f t="shared" si="40"/>
        <v>31000</v>
      </c>
      <c r="O58" s="1025">
        <f t="shared" si="40"/>
        <v>0</v>
      </c>
      <c r="P58" s="1025">
        <f t="shared" si="40"/>
        <v>0</v>
      </c>
      <c r="Q58" s="1025">
        <f t="shared" si="40"/>
        <v>31000</v>
      </c>
      <c r="R58" s="1025">
        <f t="shared" si="40"/>
        <v>28710</v>
      </c>
      <c r="S58" s="1025">
        <f t="shared" si="40"/>
        <v>0</v>
      </c>
      <c r="T58" s="1025">
        <f t="shared" si="40"/>
        <v>0</v>
      </c>
      <c r="U58" s="1025">
        <f t="shared" si="40"/>
        <v>28710</v>
      </c>
      <c r="V58" s="1025">
        <f t="shared" si="40"/>
        <v>2290</v>
      </c>
      <c r="W58" s="1025">
        <f t="shared" si="40"/>
        <v>2290</v>
      </c>
      <c r="X58" s="1025">
        <f t="shared" si="40"/>
        <v>0</v>
      </c>
      <c r="Y58" s="1025">
        <f t="shared" si="40"/>
        <v>0</v>
      </c>
      <c r="Z58" s="1025">
        <f t="shared" si="40"/>
        <v>2290</v>
      </c>
      <c r="AA58" s="1025">
        <f t="shared" si="40"/>
        <v>0</v>
      </c>
      <c r="AB58" s="1026"/>
      <c r="AC58" s="902">
        <f t="shared" si="21"/>
        <v>0</v>
      </c>
    </row>
    <row r="59" spans="1:50" s="911" customFormat="1" ht="23.25" customHeight="1">
      <c r="A59" s="910" t="s">
        <v>1309</v>
      </c>
      <c r="B59" s="1027" t="s">
        <v>38</v>
      </c>
      <c r="C59" s="1009" t="s">
        <v>425</v>
      </c>
      <c r="D59" s="1028"/>
      <c r="E59" s="1028"/>
      <c r="F59" s="1028"/>
      <c r="G59" s="1028"/>
      <c r="H59" s="1028"/>
      <c r="I59" s="1028"/>
      <c r="J59" s="1029">
        <f t="shared" ref="J59:AB59" si="41">+J61+J63+J60</f>
        <v>31626</v>
      </c>
      <c r="K59" s="1029">
        <f t="shared" si="41"/>
        <v>0</v>
      </c>
      <c r="L59" s="1029">
        <f t="shared" si="41"/>
        <v>0</v>
      </c>
      <c r="M59" s="1029">
        <f t="shared" si="41"/>
        <v>31626</v>
      </c>
      <c r="N59" s="1029">
        <f t="shared" si="41"/>
        <v>31000</v>
      </c>
      <c r="O59" s="1029">
        <f t="shared" si="41"/>
        <v>0</v>
      </c>
      <c r="P59" s="1029">
        <f t="shared" si="41"/>
        <v>0</v>
      </c>
      <c r="Q59" s="1029">
        <f t="shared" si="41"/>
        <v>31000</v>
      </c>
      <c r="R59" s="1029">
        <f t="shared" si="41"/>
        <v>28710</v>
      </c>
      <c r="S59" s="1029">
        <f t="shared" si="41"/>
        <v>0</v>
      </c>
      <c r="T59" s="1029">
        <f t="shared" si="41"/>
        <v>0</v>
      </c>
      <c r="U59" s="1029">
        <f t="shared" si="41"/>
        <v>28710</v>
      </c>
      <c r="V59" s="1029">
        <f t="shared" si="41"/>
        <v>2290</v>
      </c>
      <c r="W59" s="1029">
        <f t="shared" si="41"/>
        <v>2290</v>
      </c>
      <c r="X59" s="1029">
        <f t="shared" si="41"/>
        <v>0</v>
      </c>
      <c r="Y59" s="1029">
        <f t="shared" si="41"/>
        <v>0</v>
      </c>
      <c r="Z59" s="1029">
        <f t="shared" si="41"/>
        <v>2290</v>
      </c>
      <c r="AA59" s="1029">
        <f t="shared" si="41"/>
        <v>0</v>
      </c>
      <c r="AB59" s="1030">
        <f t="shared" si="41"/>
        <v>0</v>
      </c>
      <c r="AC59" s="902">
        <f t="shared" si="21"/>
        <v>0</v>
      </c>
    </row>
    <row r="60" spans="1:50" s="911" customFormat="1" ht="32.25" customHeight="1">
      <c r="A60" s="912" t="s">
        <v>39</v>
      </c>
      <c r="B60" s="913" t="s">
        <v>1254</v>
      </c>
      <c r="C60" s="1009" t="s">
        <v>425</v>
      </c>
      <c r="D60" s="948"/>
      <c r="E60" s="906"/>
      <c r="F60" s="946"/>
      <c r="G60" s="946"/>
      <c r="H60" s="947"/>
      <c r="I60" s="948"/>
      <c r="J60" s="1007"/>
      <c r="K60" s="1007"/>
      <c r="L60" s="1007"/>
      <c r="M60" s="1007"/>
      <c r="N60" s="1007"/>
      <c r="O60" s="1007"/>
      <c r="P60" s="1007"/>
      <c r="Q60" s="1007"/>
      <c r="R60" s="1007"/>
      <c r="S60" s="1007"/>
      <c r="T60" s="1007"/>
      <c r="U60" s="1007"/>
      <c r="V60" s="1007"/>
      <c r="W60" s="1007"/>
      <c r="X60" s="1007"/>
      <c r="Y60" s="1007"/>
      <c r="Z60" s="1007"/>
      <c r="AA60" s="1007"/>
      <c r="AB60" s="1008"/>
      <c r="AC60" s="902">
        <f t="shared" si="21"/>
        <v>0</v>
      </c>
    </row>
    <row r="61" spans="1:50" s="911" customFormat="1" ht="35.25" customHeight="1">
      <c r="A61" s="915" t="s">
        <v>467</v>
      </c>
      <c r="B61" s="1031" t="s">
        <v>423</v>
      </c>
      <c r="C61" s="1009" t="s">
        <v>425</v>
      </c>
      <c r="D61" s="1032"/>
      <c r="E61" s="1032"/>
      <c r="F61" s="1032"/>
      <c r="G61" s="1032"/>
      <c r="H61" s="1032"/>
      <c r="I61" s="1032"/>
      <c r="J61" s="1033">
        <f t="shared" ref="J61:AA61" si="42">J62</f>
        <v>31626</v>
      </c>
      <c r="K61" s="1033">
        <f t="shared" si="42"/>
        <v>0</v>
      </c>
      <c r="L61" s="1033">
        <f t="shared" si="42"/>
        <v>0</v>
      </c>
      <c r="M61" s="1033">
        <f t="shared" si="42"/>
        <v>31626</v>
      </c>
      <c r="N61" s="1033">
        <f t="shared" si="42"/>
        <v>31000</v>
      </c>
      <c r="O61" s="1033">
        <f t="shared" si="42"/>
        <v>0</v>
      </c>
      <c r="P61" s="1033">
        <f t="shared" si="42"/>
        <v>0</v>
      </c>
      <c r="Q61" s="1033">
        <f t="shared" si="42"/>
        <v>31000</v>
      </c>
      <c r="R61" s="1033">
        <f t="shared" si="42"/>
        <v>28710</v>
      </c>
      <c r="S61" s="1033">
        <f t="shared" si="42"/>
        <v>0</v>
      </c>
      <c r="T61" s="1033">
        <f t="shared" si="42"/>
        <v>0</v>
      </c>
      <c r="U61" s="1033">
        <f t="shared" si="42"/>
        <v>28710</v>
      </c>
      <c r="V61" s="1033">
        <f t="shared" si="42"/>
        <v>2290</v>
      </c>
      <c r="W61" s="1033">
        <f t="shared" si="42"/>
        <v>2290</v>
      </c>
      <c r="X61" s="1033">
        <f t="shared" si="42"/>
        <v>0</v>
      </c>
      <c r="Y61" s="1033">
        <f t="shared" si="42"/>
        <v>0</v>
      </c>
      <c r="Z61" s="1033">
        <f t="shared" si="42"/>
        <v>2290</v>
      </c>
      <c r="AA61" s="1033">
        <f t="shared" si="42"/>
        <v>0</v>
      </c>
      <c r="AB61" s="1032"/>
      <c r="AC61" s="902">
        <f t="shared" si="21"/>
        <v>0</v>
      </c>
    </row>
    <row r="62" spans="1:50" s="8" customFormat="1" ht="44.25" customHeight="1">
      <c r="A62" s="100" t="s">
        <v>144</v>
      </c>
      <c r="B62" s="101" t="s">
        <v>426</v>
      </c>
      <c r="C62" s="1009" t="s">
        <v>425</v>
      </c>
      <c r="D62" s="1034">
        <v>8109081</v>
      </c>
      <c r="E62" s="924" t="s">
        <v>427</v>
      </c>
      <c r="F62" s="21" t="s">
        <v>501</v>
      </c>
      <c r="G62" s="21" t="s">
        <v>428</v>
      </c>
      <c r="H62" s="21" t="s">
        <v>429</v>
      </c>
      <c r="I62" s="21" t="s">
        <v>445</v>
      </c>
      <c r="J62" s="43">
        <v>31626</v>
      </c>
      <c r="K62" s="43"/>
      <c r="L62" s="43"/>
      <c r="M62" s="43">
        <v>31626</v>
      </c>
      <c r="N62" s="43">
        <v>31000</v>
      </c>
      <c r="O62" s="43"/>
      <c r="P62" s="43"/>
      <c r="Q62" s="43">
        <v>31000</v>
      </c>
      <c r="R62" s="43">
        <v>28710</v>
      </c>
      <c r="S62" s="43"/>
      <c r="T62" s="43"/>
      <c r="U62" s="43">
        <v>28710</v>
      </c>
      <c r="V62" s="43">
        <v>2290</v>
      </c>
      <c r="W62" s="43">
        <f>SUM(X62:AA62)</f>
        <v>2290</v>
      </c>
      <c r="X62" s="43"/>
      <c r="Y62" s="43"/>
      <c r="Z62" s="43">
        <v>2290</v>
      </c>
      <c r="AA62" s="43"/>
      <c r="AB62" s="21" t="s">
        <v>1622</v>
      </c>
      <c r="AC62" s="380">
        <f t="shared" si="21"/>
        <v>0</v>
      </c>
      <c r="AI62" s="903"/>
      <c r="AJ62" s="925" t="s">
        <v>685</v>
      </c>
      <c r="AK62" s="903"/>
      <c r="AL62" s="903"/>
      <c r="AM62" s="903"/>
      <c r="AN62" s="903"/>
      <c r="AO62" s="903"/>
      <c r="AP62" s="903"/>
      <c r="AQ62" s="903"/>
      <c r="AR62" s="903"/>
      <c r="AS62" s="903"/>
      <c r="AT62" s="903"/>
      <c r="AU62" s="903"/>
      <c r="AV62" s="903"/>
      <c r="AW62" s="903"/>
      <c r="AX62" s="903"/>
    </row>
    <row r="63" spans="1:50" s="911" customFormat="1" ht="24" customHeight="1">
      <c r="A63" s="915" t="s">
        <v>1306</v>
      </c>
      <c r="B63" s="1035" t="s">
        <v>1314</v>
      </c>
      <c r="C63" s="1009" t="s">
        <v>425</v>
      </c>
      <c r="D63" s="1036"/>
      <c r="E63" s="1032"/>
      <c r="F63" s="1032"/>
      <c r="G63" s="1032"/>
      <c r="H63" s="1032"/>
      <c r="I63" s="1032"/>
      <c r="J63" s="1033"/>
      <c r="K63" s="1033"/>
      <c r="L63" s="1033"/>
      <c r="M63" s="1033"/>
      <c r="N63" s="1033"/>
      <c r="O63" s="1033"/>
      <c r="P63" s="1033"/>
      <c r="Q63" s="1033"/>
      <c r="R63" s="1033"/>
      <c r="S63" s="1033"/>
      <c r="T63" s="1033"/>
      <c r="U63" s="1033"/>
      <c r="V63" s="1033"/>
      <c r="W63" s="1033"/>
      <c r="X63" s="1033"/>
      <c r="Y63" s="1033"/>
      <c r="Z63" s="1033"/>
      <c r="AA63" s="1033"/>
      <c r="AB63" s="1032"/>
      <c r="AC63" s="902">
        <f t="shared" si="21"/>
        <v>0</v>
      </c>
    </row>
    <row r="64" spans="1:50" s="903" customFormat="1" ht="36" customHeight="1">
      <c r="A64" s="1037">
        <v>6</v>
      </c>
      <c r="B64" s="896" t="s">
        <v>845</v>
      </c>
      <c r="C64" s="1038" t="s">
        <v>845</v>
      </c>
      <c r="D64" s="897"/>
      <c r="E64" s="897"/>
      <c r="F64" s="895"/>
      <c r="G64" s="895"/>
      <c r="H64" s="895"/>
      <c r="I64" s="1039"/>
      <c r="J64" s="900">
        <f t="shared" ref="J64:AA64" si="43">J65</f>
        <v>53065</v>
      </c>
      <c r="K64" s="900">
        <f t="shared" si="43"/>
        <v>0</v>
      </c>
      <c r="L64" s="900">
        <f t="shared" si="43"/>
        <v>0</v>
      </c>
      <c r="M64" s="900">
        <f t="shared" si="43"/>
        <v>53065</v>
      </c>
      <c r="N64" s="900">
        <f t="shared" si="43"/>
        <v>39662</v>
      </c>
      <c r="O64" s="900">
        <f t="shared" si="43"/>
        <v>0</v>
      </c>
      <c r="P64" s="900">
        <f t="shared" si="43"/>
        <v>0</v>
      </c>
      <c r="Q64" s="900">
        <f t="shared" si="43"/>
        <v>39662</v>
      </c>
      <c r="R64" s="900">
        <f t="shared" si="43"/>
        <v>34921</v>
      </c>
      <c r="S64" s="900">
        <f t="shared" si="43"/>
        <v>0</v>
      </c>
      <c r="T64" s="900">
        <f t="shared" si="43"/>
        <v>0</v>
      </c>
      <c r="U64" s="900">
        <f t="shared" si="43"/>
        <v>34921</v>
      </c>
      <c r="V64" s="900">
        <f t="shared" si="43"/>
        <v>18376</v>
      </c>
      <c r="W64" s="900">
        <f t="shared" si="43"/>
        <v>15503</v>
      </c>
      <c r="X64" s="900">
        <f t="shared" si="43"/>
        <v>2956</v>
      </c>
      <c r="Y64" s="900">
        <f t="shared" si="43"/>
        <v>0</v>
      </c>
      <c r="Z64" s="900">
        <f t="shared" si="43"/>
        <v>12547</v>
      </c>
      <c r="AA64" s="900">
        <f t="shared" si="43"/>
        <v>0</v>
      </c>
      <c r="AB64" s="901"/>
      <c r="AC64" s="902">
        <f t="shared" si="21"/>
        <v>0</v>
      </c>
    </row>
    <row r="65" spans="1:50" s="911" customFormat="1" ht="22.5" customHeight="1">
      <c r="A65" s="905" t="s">
        <v>1311</v>
      </c>
      <c r="B65" s="906" t="s">
        <v>38</v>
      </c>
      <c r="C65" s="1038" t="s">
        <v>845</v>
      </c>
      <c r="D65" s="948"/>
      <c r="E65" s="948"/>
      <c r="F65" s="992"/>
      <c r="G65" s="992"/>
      <c r="H65" s="992"/>
      <c r="I65" s="991"/>
      <c r="J65" s="909">
        <f t="shared" ref="J65:AA65" si="44">J71+J66+J75</f>
        <v>53065</v>
      </c>
      <c r="K65" s="909">
        <f t="shared" si="44"/>
        <v>0</v>
      </c>
      <c r="L65" s="909">
        <f t="shared" si="44"/>
        <v>0</v>
      </c>
      <c r="M65" s="909">
        <f t="shared" si="44"/>
        <v>53065</v>
      </c>
      <c r="N65" s="909">
        <f t="shared" si="44"/>
        <v>39662</v>
      </c>
      <c r="O65" s="909">
        <f t="shared" si="44"/>
        <v>0</v>
      </c>
      <c r="P65" s="909">
        <f t="shared" si="44"/>
        <v>0</v>
      </c>
      <c r="Q65" s="909">
        <f t="shared" si="44"/>
        <v>39662</v>
      </c>
      <c r="R65" s="909">
        <f t="shared" si="44"/>
        <v>34921</v>
      </c>
      <c r="S65" s="909">
        <f t="shared" si="44"/>
        <v>0</v>
      </c>
      <c r="T65" s="909">
        <f t="shared" si="44"/>
        <v>0</v>
      </c>
      <c r="U65" s="909">
        <f t="shared" si="44"/>
        <v>34921</v>
      </c>
      <c r="V65" s="909">
        <f t="shared" si="44"/>
        <v>18376</v>
      </c>
      <c r="W65" s="909">
        <f t="shared" si="44"/>
        <v>15503</v>
      </c>
      <c r="X65" s="909">
        <f t="shared" si="44"/>
        <v>2956</v>
      </c>
      <c r="Y65" s="909">
        <f t="shared" si="44"/>
        <v>0</v>
      </c>
      <c r="Z65" s="909">
        <f t="shared" si="44"/>
        <v>12547</v>
      </c>
      <c r="AA65" s="909">
        <f t="shared" si="44"/>
        <v>0</v>
      </c>
      <c r="AB65" s="910"/>
      <c r="AC65" s="902">
        <f t="shared" si="21"/>
        <v>0</v>
      </c>
    </row>
    <row r="66" spans="1:50" s="911" customFormat="1" ht="39" customHeight="1">
      <c r="A66" s="912" t="s">
        <v>39</v>
      </c>
      <c r="B66" s="913" t="s">
        <v>1254</v>
      </c>
      <c r="C66" s="1038" t="s">
        <v>845</v>
      </c>
      <c r="D66" s="937"/>
      <c r="E66" s="937"/>
      <c r="F66" s="907"/>
      <c r="G66" s="907"/>
      <c r="H66" s="907"/>
      <c r="I66" s="908"/>
      <c r="J66" s="914">
        <f>SUM(J67:J70)</f>
        <v>36365</v>
      </c>
      <c r="K66" s="914">
        <f t="shared" ref="K66:Z66" si="45">SUM(K67:K70)</f>
        <v>0</v>
      </c>
      <c r="L66" s="914">
        <f t="shared" si="45"/>
        <v>0</v>
      </c>
      <c r="M66" s="914">
        <f t="shared" si="45"/>
        <v>36365</v>
      </c>
      <c r="N66" s="914">
        <f t="shared" si="45"/>
        <v>34652</v>
      </c>
      <c r="O66" s="914">
        <f t="shared" si="45"/>
        <v>0</v>
      </c>
      <c r="P66" s="914">
        <f t="shared" si="45"/>
        <v>0</v>
      </c>
      <c r="Q66" s="914">
        <f t="shared" si="45"/>
        <v>34652</v>
      </c>
      <c r="R66" s="914">
        <f t="shared" si="45"/>
        <v>29911</v>
      </c>
      <c r="S66" s="914">
        <f t="shared" si="45"/>
        <v>0</v>
      </c>
      <c r="T66" s="914">
        <f t="shared" si="45"/>
        <v>0</v>
      </c>
      <c r="U66" s="914">
        <f t="shared" si="45"/>
        <v>29911</v>
      </c>
      <c r="V66" s="914">
        <f t="shared" si="45"/>
        <v>6686</v>
      </c>
      <c r="W66" s="914">
        <f>SUM(W67:W70)</f>
        <v>3813</v>
      </c>
      <c r="X66" s="914">
        <f t="shared" si="45"/>
        <v>2956</v>
      </c>
      <c r="Y66" s="914">
        <f t="shared" si="45"/>
        <v>0</v>
      </c>
      <c r="Z66" s="914">
        <f t="shared" si="45"/>
        <v>857</v>
      </c>
      <c r="AA66" s="914">
        <f t="shared" ref="AA66" si="46">SUM(AA67:AA70)</f>
        <v>0</v>
      </c>
      <c r="AB66" s="915">
        <f t="shared" ref="AB66" si="47">+SUM(AB67:AB69)</f>
        <v>0</v>
      </c>
      <c r="AC66" s="902">
        <f t="shared" si="21"/>
        <v>0</v>
      </c>
    </row>
    <row r="67" spans="1:50" s="903" customFormat="1" ht="72.75" customHeight="1">
      <c r="A67" s="919" t="s">
        <v>144</v>
      </c>
      <c r="B67" s="917" t="s">
        <v>1048</v>
      </c>
      <c r="C67" s="1038" t="s">
        <v>845</v>
      </c>
      <c r="D67" s="904" t="s">
        <v>1049</v>
      </c>
      <c r="E67" s="904"/>
      <c r="F67" s="904" t="s">
        <v>847</v>
      </c>
      <c r="G67" s="904" t="s">
        <v>1050</v>
      </c>
      <c r="H67" s="1040" t="s">
        <v>1051</v>
      </c>
      <c r="I67" s="1034" t="s">
        <v>1052</v>
      </c>
      <c r="J67" s="921">
        <v>4069</v>
      </c>
      <c r="K67" s="921"/>
      <c r="L67" s="921"/>
      <c r="M67" s="921">
        <v>4069</v>
      </c>
      <c r="N67" s="921">
        <v>3819</v>
      </c>
      <c r="O67" s="921"/>
      <c r="P67" s="921"/>
      <c r="Q67" s="921">
        <v>3819</v>
      </c>
      <c r="R67" s="921">
        <v>3400</v>
      </c>
      <c r="S67" s="921"/>
      <c r="T67" s="921"/>
      <c r="U67" s="921">
        <v>3400</v>
      </c>
      <c r="V67" s="969">
        <v>437</v>
      </c>
      <c r="W67" s="921">
        <f t="shared" ref="W67:W69" si="48">SUM(X67:AA67)</f>
        <v>437</v>
      </c>
      <c r="X67" s="921"/>
      <c r="Y67" s="921"/>
      <c r="Z67" s="921">
        <v>437</v>
      </c>
      <c r="AA67" s="921"/>
      <c r="AB67" s="904" t="s">
        <v>1316</v>
      </c>
      <c r="AC67" s="902">
        <f t="shared" si="21"/>
        <v>0</v>
      </c>
      <c r="AJ67" s="925" t="s">
        <v>1308</v>
      </c>
    </row>
    <row r="68" spans="1:50" s="903" customFormat="1" ht="36" customHeight="1">
      <c r="A68" s="919" t="s">
        <v>144</v>
      </c>
      <c r="B68" s="958" t="s">
        <v>1053</v>
      </c>
      <c r="C68" s="1038" t="s">
        <v>845</v>
      </c>
      <c r="D68" s="904" t="s">
        <v>1054</v>
      </c>
      <c r="E68" s="904"/>
      <c r="F68" s="904" t="s">
        <v>1055</v>
      </c>
      <c r="G68" s="904"/>
      <c r="H68" s="904" t="s">
        <v>1056</v>
      </c>
      <c r="I68" s="904" t="s">
        <v>1057</v>
      </c>
      <c r="J68" s="1041">
        <v>11478</v>
      </c>
      <c r="K68" s="1041"/>
      <c r="L68" s="1041"/>
      <c r="M68" s="1041">
        <v>11478</v>
      </c>
      <c r="N68" s="1041">
        <v>11478</v>
      </c>
      <c r="O68" s="1041"/>
      <c r="P68" s="1041"/>
      <c r="Q68" s="1041">
        <v>11478</v>
      </c>
      <c r="R68" s="1041">
        <v>10522</v>
      </c>
      <c r="S68" s="1041"/>
      <c r="T68" s="1041"/>
      <c r="U68" s="1041">
        <v>10522</v>
      </c>
      <c r="V68" s="969">
        <v>1</v>
      </c>
      <c r="W68" s="921">
        <f t="shared" si="48"/>
        <v>1</v>
      </c>
      <c r="X68" s="1041"/>
      <c r="Y68" s="1041"/>
      <c r="Z68" s="1041">
        <v>1</v>
      </c>
      <c r="AA68" s="1041"/>
      <c r="AB68" s="904" t="s">
        <v>1317</v>
      </c>
      <c r="AC68" s="902">
        <f t="shared" si="21"/>
        <v>0</v>
      </c>
      <c r="AJ68" s="925" t="s">
        <v>1308</v>
      </c>
    </row>
    <row r="69" spans="1:50" s="903" customFormat="1" ht="67.5" customHeight="1">
      <c r="A69" s="919" t="s">
        <v>144</v>
      </c>
      <c r="B69" s="958" t="s">
        <v>1058</v>
      </c>
      <c r="C69" s="1038" t="s">
        <v>845</v>
      </c>
      <c r="D69" s="904" t="s">
        <v>1059</v>
      </c>
      <c r="E69" s="904"/>
      <c r="F69" s="904"/>
      <c r="G69" s="904"/>
      <c r="H69" s="904" t="s">
        <v>1051</v>
      </c>
      <c r="I69" s="904" t="s">
        <v>1060</v>
      </c>
      <c r="J69" s="1041">
        <v>11818</v>
      </c>
      <c r="K69" s="1041"/>
      <c r="L69" s="1041"/>
      <c r="M69" s="1041">
        <v>11818</v>
      </c>
      <c r="N69" s="1041">
        <v>10570</v>
      </c>
      <c r="O69" s="1041"/>
      <c r="P69" s="1041"/>
      <c r="Q69" s="1041">
        <v>10570</v>
      </c>
      <c r="R69" s="1041">
        <v>10160</v>
      </c>
      <c r="S69" s="1041"/>
      <c r="T69" s="1041"/>
      <c r="U69" s="1041">
        <v>10160</v>
      </c>
      <c r="V69" s="969">
        <v>419</v>
      </c>
      <c r="W69" s="921">
        <f t="shared" si="48"/>
        <v>419</v>
      </c>
      <c r="X69" s="1041"/>
      <c r="Y69" s="1041"/>
      <c r="Z69" s="1041">
        <v>419</v>
      </c>
      <c r="AA69" s="1041"/>
      <c r="AB69" s="904" t="s">
        <v>1318</v>
      </c>
      <c r="AC69" s="902">
        <f t="shared" si="21"/>
        <v>0</v>
      </c>
      <c r="AJ69" s="925" t="s">
        <v>1308</v>
      </c>
    </row>
    <row r="70" spans="1:50" s="903" customFormat="1" ht="67.5" customHeight="1">
      <c r="A70" s="919" t="s">
        <v>144</v>
      </c>
      <c r="B70" s="958" t="s">
        <v>1665</v>
      </c>
      <c r="C70" s="1038" t="s">
        <v>845</v>
      </c>
      <c r="D70" s="904" t="s">
        <v>1666</v>
      </c>
      <c r="E70" s="904"/>
      <c r="F70" s="904" t="s">
        <v>851</v>
      </c>
      <c r="G70" s="904" t="s">
        <v>1667</v>
      </c>
      <c r="H70" s="904" t="s">
        <v>44</v>
      </c>
      <c r="I70" s="904" t="s">
        <v>1668</v>
      </c>
      <c r="J70" s="1041">
        <v>9000</v>
      </c>
      <c r="K70" s="1041"/>
      <c r="L70" s="1041"/>
      <c r="M70" s="1041">
        <v>9000</v>
      </c>
      <c r="N70" s="1041">
        <v>8785</v>
      </c>
      <c r="O70" s="1041"/>
      <c r="P70" s="1041"/>
      <c r="Q70" s="1041">
        <v>8785</v>
      </c>
      <c r="R70" s="1041">
        <v>5829</v>
      </c>
      <c r="S70" s="1041"/>
      <c r="T70" s="1041"/>
      <c r="U70" s="1041">
        <v>5829</v>
      </c>
      <c r="V70" s="969">
        <f>U70</f>
        <v>5829</v>
      </c>
      <c r="W70" s="921">
        <f>SUM(X70:AA70)</f>
        <v>2956</v>
      </c>
      <c r="X70" s="1041">
        <v>2956</v>
      </c>
      <c r="Y70" s="1041"/>
      <c r="Z70" s="1041"/>
      <c r="AA70" s="1041"/>
      <c r="AB70" s="904" t="s">
        <v>1622</v>
      </c>
      <c r="AC70" s="902">
        <f t="shared" si="21"/>
        <v>0</v>
      </c>
      <c r="AJ70" s="925" t="s">
        <v>1308</v>
      </c>
    </row>
    <row r="71" spans="1:50" s="911" customFormat="1" ht="50.25" customHeight="1">
      <c r="A71" s="912" t="s">
        <v>467</v>
      </c>
      <c r="B71" s="1042" t="s">
        <v>56</v>
      </c>
      <c r="C71" s="1038" t="s">
        <v>845</v>
      </c>
      <c r="D71" s="952"/>
      <c r="E71" s="952"/>
      <c r="F71" s="907"/>
      <c r="G71" s="907"/>
      <c r="H71" s="907"/>
      <c r="I71" s="908"/>
      <c r="J71" s="941">
        <f t="shared" ref="J71:AB71" si="49">+SUM(J72:J74)</f>
        <v>16700</v>
      </c>
      <c r="K71" s="941">
        <f t="shared" si="49"/>
        <v>0</v>
      </c>
      <c r="L71" s="941">
        <f t="shared" si="49"/>
        <v>0</v>
      </c>
      <c r="M71" s="941">
        <f t="shared" si="49"/>
        <v>16700</v>
      </c>
      <c r="N71" s="941">
        <f t="shared" si="49"/>
        <v>5010</v>
      </c>
      <c r="O71" s="941">
        <f t="shared" si="49"/>
        <v>0</v>
      </c>
      <c r="P71" s="941">
        <f t="shared" si="49"/>
        <v>0</v>
      </c>
      <c r="Q71" s="941">
        <f t="shared" si="49"/>
        <v>5010</v>
      </c>
      <c r="R71" s="941">
        <f t="shared" si="49"/>
        <v>5010</v>
      </c>
      <c r="S71" s="941">
        <f t="shared" si="49"/>
        <v>0</v>
      </c>
      <c r="T71" s="941">
        <f t="shared" si="49"/>
        <v>0</v>
      </c>
      <c r="U71" s="941">
        <f t="shared" si="49"/>
        <v>5010</v>
      </c>
      <c r="V71" s="941">
        <f t="shared" si="49"/>
        <v>11690</v>
      </c>
      <c r="W71" s="941">
        <f>+SUM(W72:W74)</f>
        <v>11690</v>
      </c>
      <c r="X71" s="941">
        <f t="shared" si="49"/>
        <v>0</v>
      </c>
      <c r="Y71" s="941">
        <f t="shared" si="49"/>
        <v>0</v>
      </c>
      <c r="Z71" s="941">
        <f t="shared" si="49"/>
        <v>11690</v>
      </c>
      <c r="AA71" s="941">
        <f t="shared" si="49"/>
        <v>0</v>
      </c>
      <c r="AB71" s="915">
        <f t="shared" si="49"/>
        <v>0</v>
      </c>
      <c r="AC71" s="902">
        <f t="shared" si="21"/>
        <v>0</v>
      </c>
    </row>
    <row r="72" spans="1:50" s="8" customFormat="1" ht="54" customHeight="1">
      <c r="A72" s="32" t="s">
        <v>144</v>
      </c>
      <c r="B72" s="27" t="s">
        <v>1061</v>
      </c>
      <c r="C72" s="1038" t="s">
        <v>845</v>
      </c>
      <c r="D72" s="904">
        <v>8124637</v>
      </c>
      <c r="E72" s="904"/>
      <c r="F72" s="13" t="s">
        <v>847</v>
      </c>
      <c r="G72" s="13" t="s">
        <v>1062</v>
      </c>
      <c r="H72" s="13" t="s">
        <v>207</v>
      </c>
      <c r="I72" s="13" t="s">
        <v>1063</v>
      </c>
      <c r="J72" s="476">
        <v>4200</v>
      </c>
      <c r="K72" s="476"/>
      <c r="L72" s="476"/>
      <c r="M72" s="476">
        <v>4200</v>
      </c>
      <c r="N72" s="476">
        <v>1260</v>
      </c>
      <c r="O72" s="476"/>
      <c r="P72" s="476"/>
      <c r="Q72" s="476">
        <v>1260</v>
      </c>
      <c r="R72" s="476">
        <v>1260</v>
      </c>
      <c r="S72" s="476"/>
      <c r="T72" s="476"/>
      <c r="U72" s="476">
        <v>1260</v>
      </c>
      <c r="V72" s="476">
        <v>2940</v>
      </c>
      <c r="W72" s="19">
        <f>SUM(X72:AA72)</f>
        <v>2940</v>
      </c>
      <c r="X72" s="476"/>
      <c r="Y72" s="476"/>
      <c r="Z72" s="476">
        <v>2940</v>
      </c>
      <c r="AA72" s="476"/>
      <c r="AB72" s="478" t="s">
        <v>1622</v>
      </c>
      <c r="AC72" s="380">
        <f t="shared" si="21"/>
        <v>0</v>
      </c>
      <c r="AI72" s="903"/>
      <c r="AJ72" s="925" t="s">
        <v>685</v>
      </c>
      <c r="AK72" s="903"/>
      <c r="AL72" s="903"/>
      <c r="AM72" s="903"/>
      <c r="AN72" s="903"/>
      <c r="AO72" s="903"/>
      <c r="AP72" s="903"/>
      <c r="AQ72" s="903"/>
      <c r="AR72" s="903"/>
      <c r="AS72" s="903"/>
      <c r="AT72" s="903"/>
      <c r="AU72" s="903"/>
      <c r="AV72" s="903"/>
      <c r="AW72" s="903"/>
      <c r="AX72" s="903"/>
    </row>
    <row r="73" spans="1:50" s="8" customFormat="1" ht="70.5" customHeight="1">
      <c r="A73" s="32" t="s">
        <v>144</v>
      </c>
      <c r="B73" s="27" t="s">
        <v>1064</v>
      </c>
      <c r="C73" s="1038" t="s">
        <v>845</v>
      </c>
      <c r="D73" s="904">
        <v>8124638</v>
      </c>
      <c r="E73" s="904"/>
      <c r="F73" s="13" t="s">
        <v>851</v>
      </c>
      <c r="G73" s="13" t="s">
        <v>1065</v>
      </c>
      <c r="H73" s="13" t="s">
        <v>207</v>
      </c>
      <c r="I73" s="13" t="s">
        <v>1066</v>
      </c>
      <c r="J73" s="476">
        <v>5000</v>
      </c>
      <c r="K73" s="476"/>
      <c r="L73" s="476"/>
      <c r="M73" s="476">
        <v>5000</v>
      </c>
      <c r="N73" s="476">
        <v>1500</v>
      </c>
      <c r="O73" s="476"/>
      <c r="P73" s="476"/>
      <c r="Q73" s="476">
        <v>1500</v>
      </c>
      <c r="R73" s="476">
        <v>1500</v>
      </c>
      <c r="S73" s="476"/>
      <c r="T73" s="476"/>
      <c r="U73" s="476">
        <v>1500</v>
      </c>
      <c r="V73" s="476">
        <v>3500</v>
      </c>
      <c r="W73" s="19">
        <f t="shared" ref="W73:W74" si="50">SUM(X73:AA73)</f>
        <v>3500</v>
      </c>
      <c r="X73" s="476"/>
      <c r="Y73" s="476"/>
      <c r="Z73" s="476">
        <v>3500</v>
      </c>
      <c r="AA73" s="476"/>
      <c r="AB73" s="478" t="s">
        <v>1622</v>
      </c>
      <c r="AC73" s="380">
        <f t="shared" si="21"/>
        <v>0</v>
      </c>
      <c r="AI73" s="903"/>
      <c r="AJ73" s="925" t="s">
        <v>685</v>
      </c>
      <c r="AK73" s="903"/>
      <c r="AL73" s="903"/>
      <c r="AM73" s="903"/>
      <c r="AN73" s="903"/>
      <c r="AO73" s="903"/>
      <c r="AP73" s="903"/>
      <c r="AQ73" s="903"/>
      <c r="AR73" s="903"/>
      <c r="AS73" s="903"/>
      <c r="AT73" s="903"/>
      <c r="AU73" s="903"/>
      <c r="AV73" s="903"/>
      <c r="AW73" s="903"/>
      <c r="AX73" s="903"/>
    </row>
    <row r="74" spans="1:50" s="8" customFormat="1" ht="66.75" customHeight="1">
      <c r="A74" s="32" t="s">
        <v>144</v>
      </c>
      <c r="B74" s="27" t="s">
        <v>1067</v>
      </c>
      <c r="C74" s="1038" t="s">
        <v>845</v>
      </c>
      <c r="D74" s="904">
        <v>8124640</v>
      </c>
      <c r="E74" s="904"/>
      <c r="F74" s="13" t="s">
        <v>847</v>
      </c>
      <c r="G74" s="13" t="s">
        <v>1068</v>
      </c>
      <c r="H74" s="13" t="s">
        <v>207</v>
      </c>
      <c r="I74" s="13" t="s">
        <v>1069</v>
      </c>
      <c r="J74" s="476">
        <v>7500</v>
      </c>
      <c r="K74" s="476"/>
      <c r="L74" s="476"/>
      <c r="M74" s="476">
        <v>7500</v>
      </c>
      <c r="N74" s="476">
        <v>2250</v>
      </c>
      <c r="O74" s="476"/>
      <c r="P74" s="476"/>
      <c r="Q74" s="476">
        <v>2250</v>
      </c>
      <c r="R74" s="476">
        <v>2250</v>
      </c>
      <c r="S74" s="476"/>
      <c r="T74" s="476"/>
      <c r="U74" s="476">
        <v>2250</v>
      </c>
      <c r="V74" s="476">
        <v>5250</v>
      </c>
      <c r="W74" s="19">
        <f t="shared" si="50"/>
        <v>5250</v>
      </c>
      <c r="X74" s="476"/>
      <c r="Y74" s="476"/>
      <c r="Z74" s="476">
        <v>5250</v>
      </c>
      <c r="AA74" s="476"/>
      <c r="AB74" s="478" t="s">
        <v>1622</v>
      </c>
      <c r="AC74" s="380">
        <f t="shared" si="21"/>
        <v>0</v>
      </c>
      <c r="AI74" s="903"/>
      <c r="AJ74" s="925" t="s">
        <v>685</v>
      </c>
      <c r="AK74" s="903"/>
      <c r="AL74" s="903"/>
      <c r="AM74" s="903"/>
      <c r="AN74" s="903"/>
      <c r="AO74" s="903"/>
      <c r="AP74" s="903"/>
      <c r="AQ74" s="903"/>
      <c r="AR74" s="903"/>
      <c r="AS74" s="903"/>
      <c r="AT74" s="903"/>
      <c r="AU74" s="903"/>
      <c r="AV74" s="903"/>
      <c r="AW74" s="903"/>
      <c r="AX74" s="903"/>
    </row>
    <row r="75" spans="1:50" s="911" customFormat="1" ht="30.75" customHeight="1">
      <c r="A75" s="1044" t="s">
        <v>1306</v>
      </c>
      <c r="B75" s="1035" t="s">
        <v>1314</v>
      </c>
      <c r="C75" s="1038" t="s">
        <v>845</v>
      </c>
      <c r="D75" s="937"/>
      <c r="E75" s="937"/>
      <c r="F75" s="937"/>
      <c r="G75" s="937"/>
      <c r="H75" s="937"/>
      <c r="I75" s="937"/>
      <c r="J75" s="1045"/>
      <c r="K75" s="1045"/>
      <c r="L75" s="1045"/>
      <c r="M75" s="1045"/>
      <c r="N75" s="1045"/>
      <c r="O75" s="1045"/>
      <c r="P75" s="1045"/>
      <c r="Q75" s="1045"/>
      <c r="R75" s="1045"/>
      <c r="S75" s="1045"/>
      <c r="T75" s="1045"/>
      <c r="U75" s="1045"/>
      <c r="V75" s="1045"/>
      <c r="W75" s="1045"/>
      <c r="X75" s="1045"/>
      <c r="Y75" s="1045"/>
      <c r="Z75" s="1045"/>
      <c r="AA75" s="1045"/>
      <c r="AB75" s="1046"/>
      <c r="AC75" s="902">
        <f t="shared" si="21"/>
        <v>0</v>
      </c>
    </row>
    <row r="76" spans="1:50" s="964" customFormat="1" ht="36" customHeight="1">
      <c r="A76" s="1037">
        <v>7</v>
      </c>
      <c r="B76" s="896" t="s">
        <v>89</v>
      </c>
      <c r="C76" s="1038" t="s">
        <v>89</v>
      </c>
      <c r="D76" s="897"/>
      <c r="E76" s="897"/>
      <c r="F76" s="897"/>
      <c r="G76" s="897"/>
      <c r="H76" s="897"/>
      <c r="I76" s="897"/>
      <c r="J76" s="1047">
        <f t="shared" ref="J76:AA76" si="51">J77</f>
        <v>16385</v>
      </c>
      <c r="K76" s="1047">
        <f t="shared" si="51"/>
        <v>0</v>
      </c>
      <c r="L76" s="1047">
        <f t="shared" si="51"/>
        <v>0</v>
      </c>
      <c r="M76" s="1047">
        <f t="shared" si="51"/>
        <v>16385</v>
      </c>
      <c r="N76" s="1047">
        <f t="shared" si="51"/>
        <v>7950</v>
      </c>
      <c r="O76" s="1047">
        <f t="shared" si="51"/>
        <v>0</v>
      </c>
      <c r="P76" s="1047">
        <f t="shared" si="51"/>
        <v>0</v>
      </c>
      <c r="Q76" s="1047">
        <f t="shared" si="51"/>
        <v>7950</v>
      </c>
      <c r="R76" s="1047">
        <f t="shared" si="51"/>
        <v>7950</v>
      </c>
      <c r="S76" s="1047">
        <f t="shared" si="51"/>
        <v>0</v>
      </c>
      <c r="T76" s="1047">
        <f t="shared" si="51"/>
        <v>0</v>
      </c>
      <c r="U76" s="1047">
        <f t="shared" si="51"/>
        <v>7950</v>
      </c>
      <c r="V76" s="1047">
        <f t="shared" si="51"/>
        <v>8434.5120000000006</v>
      </c>
      <c r="W76" s="1047">
        <f t="shared" si="51"/>
        <v>8435</v>
      </c>
      <c r="X76" s="1047">
        <f t="shared" si="51"/>
        <v>0</v>
      </c>
      <c r="Y76" s="1047">
        <f t="shared" si="51"/>
        <v>0</v>
      </c>
      <c r="Z76" s="1047">
        <f t="shared" si="51"/>
        <v>8435</v>
      </c>
      <c r="AA76" s="1047">
        <f t="shared" si="51"/>
        <v>0</v>
      </c>
      <c r="AB76" s="1048"/>
      <c r="AC76" s="902">
        <f t="shared" si="21"/>
        <v>0</v>
      </c>
    </row>
    <row r="77" spans="1:50" s="951" customFormat="1" ht="32.25" customHeight="1">
      <c r="A77" s="905" t="s">
        <v>1312</v>
      </c>
      <c r="B77" s="906" t="s">
        <v>38</v>
      </c>
      <c r="C77" s="1038" t="s">
        <v>89</v>
      </c>
      <c r="D77" s="948"/>
      <c r="E77" s="948"/>
      <c r="F77" s="948"/>
      <c r="G77" s="948"/>
      <c r="H77" s="948"/>
      <c r="I77" s="948"/>
      <c r="J77" s="1049">
        <f t="shared" ref="J77:AA77" si="52">J79+J78+J83</f>
        <v>16385</v>
      </c>
      <c r="K77" s="1049">
        <f t="shared" si="52"/>
        <v>0</v>
      </c>
      <c r="L77" s="1049">
        <f t="shared" si="52"/>
        <v>0</v>
      </c>
      <c r="M77" s="1049">
        <f t="shared" si="52"/>
        <v>16385</v>
      </c>
      <c r="N77" s="1049">
        <f t="shared" si="52"/>
        <v>7950</v>
      </c>
      <c r="O77" s="1049">
        <f t="shared" si="52"/>
        <v>0</v>
      </c>
      <c r="P77" s="1049">
        <f t="shared" si="52"/>
        <v>0</v>
      </c>
      <c r="Q77" s="1049">
        <f t="shared" si="52"/>
        <v>7950</v>
      </c>
      <c r="R77" s="1049">
        <f t="shared" si="52"/>
        <v>7950</v>
      </c>
      <c r="S77" s="1049">
        <f t="shared" si="52"/>
        <v>0</v>
      </c>
      <c r="T77" s="1049">
        <f t="shared" si="52"/>
        <v>0</v>
      </c>
      <c r="U77" s="1049">
        <f t="shared" si="52"/>
        <v>7950</v>
      </c>
      <c r="V77" s="1049">
        <f t="shared" si="52"/>
        <v>8434.5120000000006</v>
      </c>
      <c r="W77" s="1049">
        <f t="shared" si="52"/>
        <v>8435</v>
      </c>
      <c r="X77" s="1049">
        <f t="shared" si="52"/>
        <v>0</v>
      </c>
      <c r="Y77" s="1049">
        <f t="shared" si="52"/>
        <v>0</v>
      </c>
      <c r="Z77" s="1049">
        <f t="shared" si="52"/>
        <v>8435</v>
      </c>
      <c r="AA77" s="1049">
        <f t="shared" si="52"/>
        <v>0</v>
      </c>
      <c r="AB77" s="1050"/>
      <c r="AC77" s="902">
        <f t="shared" si="21"/>
        <v>0</v>
      </c>
    </row>
    <row r="78" spans="1:50" s="911" customFormat="1" ht="32.25" customHeight="1">
      <c r="A78" s="912" t="s">
        <v>39</v>
      </c>
      <c r="B78" s="913" t="s">
        <v>1254</v>
      </c>
      <c r="C78" s="1038" t="s">
        <v>89</v>
      </c>
      <c r="D78" s="937"/>
      <c r="E78" s="937"/>
      <c r="F78" s="937"/>
      <c r="G78" s="937"/>
      <c r="H78" s="937"/>
      <c r="I78" s="937"/>
      <c r="J78" s="1045"/>
      <c r="K78" s="1045"/>
      <c r="L78" s="1045"/>
      <c r="M78" s="1045"/>
      <c r="N78" s="1045"/>
      <c r="O78" s="1045"/>
      <c r="P78" s="1045"/>
      <c r="Q78" s="1045"/>
      <c r="R78" s="1045"/>
      <c r="S78" s="1045"/>
      <c r="T78" s="1045"/>
      <c r="U78" s="1045"/>
      <c r="V78" s="1045"/>
      <c r="W78" s="1045"/>
      <c r="X78" s="1045"/>
      <c r="Y78" s="1045"/>
      <c r="Z78" s="1045"/>
      <c r="AA78" s="1045"/>
      <c r="AB78" s="1046"/>
      <c r="AC78" s="902">
        <f t="shared" si="21"/>
        <v>0</v>
      </c>
    </row>
    <row r="79" spans="1:50" s="911" customFormat="1" ht="53.25" customHeight="1">
      <c r="A79" s="912" t="s">
        <v>467</v>
      </c>
      <c r="B79" s="1042" t="s">
        <v>56</v>
      </c>
      <c r="C79" s="1038" t="s">
        <v>89</v>
      </c>
      <c r="D79" s="937"/>
      <c r="E79" s="937"/>
      <c r="F79" s="937"/>
      <c r="G79" s="937"/>
      <c r="H79" s="937"/>
      <c r="I79" s="937"/>
      <c r="J79" s="1045">
        <f t="shared" ref="J79:AA79" si="53">SUM(J80:J82)</f>
        <v>16385</v>
      </c>
      <c r="K79" s="1045">
        <f t="shared" si="53"/>
        <v>0</v>
      </c>
      <c r="L79" s="1045">
        <f t="shared" si="53"/>
        <v>0</v>
      </c>
      <c r="M79" s="1045">
        <f t="shared" si="53"/>
        <v>16385</v>
      </c>
      <c r="N79" s="1045">
        <f t="shared" si="53"/>
        <v>7950</v>
      </c>
      <c r="O79" s="1045">
        <f t="shared" si="53"/>
        <v>0</v>
      </c>
      <c r="P79" s="1045">
        <f t="shared" si="53"/>
        <v>0</v>
      </c>
      <c r="Q79" s="1045">
        <f t="shared" si="53"/>
        <v>7950</v>
      </c>
      <c r="R79" s="1045">
        <f t="shared" si="53"/>
        <v>7950</v>
      </c>
      <c r="S79" s="1045">
        <f t="shared" si="53"/>
        <v>0</v>
      </c>
      <c r="T79" s="1045">
        <f t="shared" si="53"/>
        <v>0</v>
      </c>
      <c r="U79" s="1045">
        <f t="shared" si="53"/>
        <v>7950</v>
      </c>
      <c r="V79" s="1045">
        <f t="shared" si="53"/>
        <v>8434.5120000000006</v>
      </c>
      <c r="W79" s="1045">
        <f>SUM(W80:W82)</f>
        <v>8435</v>
      </c>
      <c r="X79" s="1045">
        <f t="shared" si="53"/>
        <v>0</v>
      </c>
      <c r="Y79" s="1045">
        <f t="shared" si="53"/>
        <v>0</v>
      </c>
      <c r="Z79" s="1045">
        <f t="shared" si="53"/>
        <v>8435</v>
      </c>
      <c r="AA79" s="1045">
        <f t="shared" si="53"/>
        <v>0</v>
      </c>
      <c r="AB79" s="1046"/>
      <c r="AC79" s="902">
        <f t="shared" ref="AC79:AC148" si="54">+W79-X79-Y79-Z79</f>
        <v>0</v>
      </c>
    </row>
    <row r="80" spans="1:50" s="8" customFormat="1" ht="71.25" customHeight="1">
      <c r="A80" s="32" t="s">
        <v>144</v>
      </c>
      <c r="B80" s="27" t="s">
        <v>1070</v>
      </c>
      <c r="C80" s="1038" t="s">
        <v>89</v>
      </c>
      <c r="D80" s="904">
        <v>8150903</v>
      </c>
      <c r="E80" s="904"/>
      <c r="F80" s="13" t="s">
        <v>821</v>
      </c>
      <c r="G80" s="13" t="s">
        <v>1071</v>
      </c>
      <c r="H80" s="13" t="s">
        <v>136</v>
      </c>
      <c r="I80" s="13" t="s">
        <v>1072</v>
      </c>
      <c r="J80" s="476">
        <v>6100</v>
      </c>
      <c r="K80" s="476"/>
      <c r="L80" s="476"/>
      <c r="M80" s="476">
        <v>6100</v>
      </c>
      <c r="N80" s="476">
        <v>2450</v>
      </c>
      <c r="O80" s="476"/>
      <c r="P80" s="476"/>
      <c r="Q80" s="476">
        <v>2450</v>
      </c>
      <c r="R80" s="476">
        <v>2450</v>
      </c>
      <c r="S80" s="476"/>
      <c r="T80" s="476"/>
      <c r="U80" s="476">
        <v>2450</v>
      </c>
      <c r="V80" s="407">
        <v>3650</v>
      </c>
      <c r="W80" s="476">
        <f>SUM(X80:AA80)</f>
        <v>3650</v>
      </c>
      <c r="X80" s="476"/>
      <c r="Y80" s="476"/>
      <c r="Z80" s="476">
        <v>3650</v>
      </c>
      <c r="AA80" s="476"/>
      <c r="AB80" s="478" t="s">
        <v>1622</v>
      </c>
      <c r="AC80" s="380">
        <f t="shared" si="54"/>
        <v>0</v>
      </c>
      <c r="AI80" s="903"/>
      <c r="AJ80" s="925" t="s">
        <v>685</v>
      </c>
      <c r="AK80" s="903"/>
      <c r="AL80" s="903"/>
      <c r="AM80" s="903"/>
      <c r="AN80" s="903"/>
      <c r="AO80" s="903"/>
      <c r="AP80" s="903"/>
      <c r="AQ80" s="903"/>
      <c r="AR80" s="903"/>
      <c r="AS80" s="903"/>
      <c r="AT80" s="903"/>
      <c r="AU80" s="903"/>
      <c r="AV80" s="903"/>
      <c r="AW80" s="903"/>
      <c r="AX80" s="903"/>
    </row>
    <row r="81" spans="1:50" s="8" customFormat="1" ht="94.5" customHeight="1">
      <c r="A81" s="32" t="s">
        <v>144</v>
      </c>
      <c r="B81" s="27" t="s">
        <v>1073</v>
      </c>
      <c r="C81" s="1038" t="s">
        <v>89</v>
      </c>
      <c r="D81" s="904">
        <v>8136092</v>
      </c>
      <c r="E81" s="904"/>
      <c r="F81" s="13" t="s">
        <v>92</v>
      </c>
      <c r="G81" s="13" t="s">
        <v>1074</v>
      </c>
      <c r="H81" s="13" t="s">
        <v>136</v>
      </c>
      <c r="I81" s="13" t="s">
        <v>1075</v>
      </c>
      <c r="J81" s="476">
        <v>3785</v>
      </c>
      <c r="K81" s="476"/>
      <c r="L81" s="476"/>
      <c r="M81" s="476">
        <v>3785</v>
      </c>
      <c r="N81" s="476">
        <v>2500</v>
      </c>
      <c r="O81" s="476"/>
      <c r="P81" s="476"/>
      <c r="Q81" s="476">
        <v>2500</v>
      </c>
      <c r="R81" s="476">
        <v>2500</v>
      </c>
      <c r="S81" s="476"/>
      <c r="T81" s="476"/>
      <c r="U81" s="476">
        <v>2500</v>
      </c>
      <c r="V81" s="407">
        <v>1284.5120000000002</v>
      </c>
      <c r="W81" s="476">
        <f t="shared" ref="W81:W82" si="55">SUM(X81:AA81)</f>
        <v>1285</v>
      </c>
      <c r="X81" s="476"/>
      <c r="Y81" s="476"/>
      <c r="Z81" s="476">
        <v>1285</v>
      </c>
      <c r="AA81" s="476"/>
      <c r="AB81" s="478" t="s">
        <v>1622</v>
      </c>
      <c r="AC81" s="380">
        <f t="shared" si="54"/>
        <v>0</v>
      </c>
      <c r="AI81" s="903"/>
      <c r="AJ81" s="925" t="s">
        <v>685</v>
      </c>
      <c r="AK81" s="903"/>
      <c r="AL81" s="903"/>
      <c r="AM81" s="903"/>
      <c r="AN81" s="903"/>
      <c r="AO81" s="903"/>
      <c r="AP81" s="903"/>
      <c r="AQ81" s="903"/>
      <c r="AR81" s="903"/>
      <c r="AS81" s="903"/>
      <c r="AT81" s="903"/>
      <c r="AU81" s="903"/>
      <c r="AV81" s="903"/>
      <c r="AW81" s="903"/>
      <c r="AX81" s="903"/>
    </row>
    <row r="82" spans="1:50" s="8" customFormat="1" ht="71.25" customHeight="1">
      <c r="A82" s="32" t="s">
        <v>144</v>
      </c>
      <c r="B82" s="27" t="s">
        <v>1076</v>
      </c>
      <c r="C82" s="1038" t="s">
        <v>89</v>
      </c>
      <c r="D82" s="904">
        <v>8134643</v>
      </c>
      <c r="E82" s="904"/>
      <c r="F82" s="13" t="s">
        <v>92</v>
      </c>
      <c r="G82" s="13" t="s">
        <v>1074</v>
      </c>
      <c r="H82" s="13" t="s">
        <v>136</v>
      </c>
      <c r="I82" s="13" t="s">
        <v>1077</v>
      </c>
      <c r="J82" s="476">
        <v>6500</v>
      </c>
      <c r="K82" s="476"/>
      <c r="L82" s="476"/>
      <c r="M82" s="476">
        <v>6500</v>
      </c>
      <c r="N82" s="476">
        <v>3000</v>
      </c>
      <c r="O82" s="476"/>
      <c r="P82" s="476"/>
      <c r="Q82" s="476">
        <v>3000</v>
      </c>
      <c r="R82" s="476">
        <v>3000</v>
      </c>
      <c r="S82" s="476"/>
      <c r="T82" s="476"/>
      <c r="U82" s="476">
        <v>3000</v>
      </c>
      <c r="V82" s="407">
        <v>3500</v>
      </c>
      <c r="W82" s="476">
        <f t="shared" si="55"/>
        <v>3500</v>
      </c>
      <c r="X82" s="476"/>
      <c r="Y82" s="476"/>
      <c r="Z82" s="476">
        <v>3500</v>
      </c>
      <c r="AA82" s="476"/>
      <c r="AB82" s="478" t="s">
        <v>1622</v>
      </c>
      <c r="AC82" s="380">
        <f t="shared" si="54"/>
        <v>0</v>
      </c>
      <c r="AI82" s="903"/>
      <c r="AJ82" s="925" t="s">
        <v>685</v>
      </c>
      <c r="AK82" s="903"/>
      <c r="AL82" s="903"/>
      <c r="AM82" s="903"/>
      <c r="AN82" s="903"/>
      <c r="AO82" s="903"/>
      <c r="AP82" s="903"/>
      <c r="AQ82" s="903"/>
      <c r="AR82" s="903"/>
      <c r="AS82" s="903"/>
      <c r="AT82" s="903"/>
      <c r="AU82" s="903"/>
      <c r="AV82" s="903"/>
      <c r="AW82" s="903"/>
      <c r="AX82" s="903"/>
    </row>
    <row r="83" spans="1:50" s="911" customFormat="1" ht="28.5" customHeight="1">
      <c r="A83" s="1044" t="s">
        <v>1306</v>
      </c>
      <c r="B83" s="1035" t="s">
        <v>1314</v>
      </c>
      <c r="C83" s="1038" t="s">
        <v>89</v>
      </c>
      <c r="D83" s="937"/>
      <c r="E83" s="937"/>
      <c r="F83" s="937"/>
      <c r="G83" s="937"/>
      <c r="H83" s="937"/>
      <c r="I83" s="937"/>
      <c r="J83" s="1045"/>
      <c r="K83" s="1045"/>
      <c r="L83" s="1045"/>
      <c r="M83" s="1045"/>
      <c r="N83" s="1045"/>
      <c r="O83" s="1045"/>
      <c r="P83" s="1045"/>
      <c r="Q83" s="1045"/>
      <c r="R83" s="1045"/>
      <c r="S83" s="1045"/>
      <c r="T83" s="1045"/>
      <c r="U83" s="1045"/>
      <c r="V83" s="1045"/>
      <c r="W83" s="1045"/>
      <c r="X83" s="1045"/>
      <c r="Y83" s="1045"/>
      <c r="Z83" s="1045"/>
      <c r="AA83" s="1045"/>
      <c r="AB83" s="1046"/>
      <c r="AC83" s="902">
        <f t="shared" si="54"/>
        <v>0</v>
      </c>
    </row>
    <row r="84" spans="1:50" s="964" customFormat="1" ht="44.25" customHeight="1">
      <c r="A84" s="1051">
        <v>8</v>
      </c>
      <c r="B84" s="896" t="s">
        <v>54</v>
      </c>
      <c r="C84" s="1038" t="s">
        <v>54</v>
      </c>
      <c r="D84" s="897"/>
      <c r="E84" s="897"/>
      <c r="F84" s="897"/>
      <c r="G84" s="897"/>
      <c r="H84" s="897"/>
      <c r="I84" s="897"/>
      <c r="J84" s="1047">
        <f>J85</f>
        <v>6850</v>
      </c>
      <c r="K84" s="1047">
        <f t="shared" ref="K84:AA84" si="56">K85</f>
        <v>0</v>
      </c>
      <c r="L84" s="1047">
        <f t="shared" si="56"/>
        <v>0</v>
      </c>
      <c r="M84" s="1047">
        <f t="shared" si="56"/>
        <v>6850</v>
      </c>
      <c r="N84" s="1047">
        <f t="shared" si="56"/>
        <v>5730</v>
      </c>
      <c r="O84" s="1047">
        <f t="shared" si="56"/>
        <v>0</v>
      </c>
      <c r="P84" s="1047">
        <f t="shared" si="56"/>
        <v>0</v>
      </c>
      <c r="Q84" s="1047">
        <f t="shared" si="56"/>
        <v>5730</v>
      </c>
      <c r="R84" s="1047">
        <f t="shared" si="56"/>
        <v>5730</v>
      </c>
      <c r="S84" s="1047">
        <f t="shared" si="56"/>
        <v>0</v>
      </c>
      <c r="T84" s="1047">
        <f t="shared" si="56"/>
        <v>0</v>
      </c>
      <c r="U84" s="1047">
        <f t="shared" si="56"/>
        <v>5730</v>
      </c>
      <c r="V84" s="1047">
        <f t="shared" si="56"/>
        <v>934</v>
      </c>
      <c r="W84" s="1047">
        <f t="shared" si="56"/>
        <v>934</v>
      </c>
      <c r="X84" s="1047">
        <f t="shared" si="56"/>
        <v>0</v>
      </c>
      <c r="Y84" s="1047">
        <f t="shared" si="56"/>
        <v>0</v>
      </c>
      <c r="Z84" s="1047">
        <f t="shared" si="56"/>
        <v>934</v>
      </c>
      <c r="AA84" s="1047">
        <f t="shared" si="56"/>
        <v>0</v>
      </c>
      <c r="AB84" s="1048"/>
      <c r="AC84" s="902">
        <f t="shared" si="54"/>
        <v>0</v>
      </c>
    </row>
    <row r="85" spans="1:50" s="951" customFormat="1" ht="28.5" customHeight="1">
      <c r="A85" s="1052" t="s">
        <v>1315</v>
      </c>
      <c r="B85" s="906" t="s">
        <v>38</v>
      </c>
      <c r="C85" s="1038" t="s">
        <v>54</v>
      </c>
      <c r="D85" s="897"/>
      <c r="E85" s="897"/>
      <c r="F85" s="948"/>
      <c r="G85" s="948"/>
      <c r="H85" s="948"/>
      <c r="I85" s="948"/>
      <c r="J85" s="1049">
        <f>J86+J88+J93</f>
        <v>6850</v>
      </c>
      <c r="K85" s="1049">
        <f t="shared" ref="K85:AA85" si="57">K86+K88+K93</f>
        <v>0</v>
      </c>
      <c r="L85" s="1049">
        <f t="shared" si="57"/>
        <v>0</v>
      </c>
      <c r="M85" s="1049">
        <f t="shared" si="57"/>
        <v>6850</v>
      </c>
      <c r="N85" s="1049">
        <f t="shared" si="57"/>
        <v>5730</v>
      </c>
      <c r="O85" s="1049">
        <f t="shared" si="57"/>
        <v>0</v>
      </c>
      <c r="P85" s="1049">
        <f t="shared" si="57"/>
        <v>0</v>
      </c>
      <c r="Q85" s="1049">
        <f t="shared" si="57"/>
        <v>5730</v>
      </c>
      <c r="R85" s="1049">
        <f t="shared" si="57"/>
        <v>5730</v>
      </c>
      <c r="S85" s="1049">
        <f t="shared" si="57"/>
        <v>0</v>
      </c>
      <c r="T85" s="1049">
        <f t="shared" si="57"/>
        <v>0</v>
      </c>
      <c r="U85" s="1049">
        <f t="shared" si="57"/>
        <v>5730</v>
      </c>
      <c r="V85" s="1049">
        <f t="shared" si="57"/>
        <v>934</v>
      </c>
      <c r="W85" s="1049">
        <f t="shared" si="57"/>
        <v>934</v>
      </c>
      <c r="X85" s="1049">
        <f t="shared" si="57"/>
        <v>0</v>
      </c>
      <c r="Y85" s="1049">
        <f t="shared" si="57"/>
        <v>0</v>
      </c>
      <c r="Z85" s="1049">
        <f t="shared" si="57"/>
        <v>934</v>
      </c>
      <c r="AA85" s="1049">
        <f t="shared" si="57"/>
        <v>0</v>
      </c>
      <c r="AB85" s="1050"/>
      <c r="AC85" s="902">
        <f t="shared" si="54"/>
        <v>0</v>
      </c>
    </row>
    <row r="86" spans="1:50" s="911" customFormat="1" ht="34.5" customHeight="1">
      <c r="A86" s="1044" t="s">
        <v>39</v>
      </c>
      <c r="B86" s="913" t="s">
        <v>1254</v>
      </c>
      <c r="C86" s="1038" t="s">
        <v>54</v>
      </c>
      <c r="D86" s="937"/>
      <c r="E86" s="937"/>
      <c r="F86" s="937"/>
      <c r="G86" s="937"/>
      <c r="H86" s="937"/>
      <c r="I86" s="937"/>
      <c r="J86" s="1045">
        <f t="shared" ref="J86:AA86" si="58">+J87</f>
        <v>3000</v>
      </c>
      <c r="K86" s="1045">
        <f t="shared" si="58"/>
        <v>0</v>
      </c>
      <c r="L86" s="1045">
        <f t="shared" si="58"/>
        <v>0</v>
      </c>
      <c r="M86" s="1045">
        <f t="shared" si="58"/>
        <v>3000</v>
      </c>
      <c r="N86" s="1045">
        <f t="shared" si="58"/>
        <v>2300</v>
      </c>
      <c r="O86" s="1045">
        <f t="shared" si="58"/>
        <v>0</v>
      </c>
      <c r="P86" s="1045">
        <f t="shared" si="58"/>
        <v>0</v>
      </c>
      <c r="Q86" s="1045">
        <f t="shared" si="58"/>
        <v>2300</v>
      </c>
      <c r="R86" s="1045">
        <f t="shared" si="58"/>
        <v>2300</v>
      </c>
      <c r="S86" s="1045">
        <f t="shared" si="58"/>
        <v>0</v>
      </c>
      <c r="T86" s="1045">
        <f t="shared" si="58"/>
        <v>0</v>
      </c>
      <c r="U86" s="1045">
        <f t="shared" si="58"/>
        <v>2300</v>
      </c>
      <c r="V86" s="1045">
        <f t="shared" si="58"/>
        <v>514</v>
      </c>
      <c r="W86" s="1045">
        <f>+W87</f>
        <v>514</v>
      </c>
      <c r="X86" s="1045">
        <f t="shared" si="58"/>
        <v>0</v>
      </c>
      <c r="Y86" s="1045">
        <f t="shared" si="58"/>
        <v>0</v>
      </c>
      <c r="Z86" s="1045">
        <f t="shared" si="58"/>
        <v>514</v>
      </c>
      <c r="AA86" s="1045">
        <f t="shared" si="58"/>
        <v>0</v>
      </c>
      <c r="AB86" s="1046"/>
      <c r="AC86" s="902">
        <f t="shared" si="54"/>
        <v>0</v>
      </c>
    </row>
    <row r="87" spans="1:50" s="903" customFormat="1" ht="69.75" customHeight="1">
      <c r="A87" s="919" t="s">
        <v>144</v>
      </c>
      <c r="B87" s="1038" t="s">
        <v>1078</v>
      </c>
      <c r="C87" s="1038" t="s">
        <v>54</v>
      </c>
      <c r="D87" s="904">
        <v>8062408</v>
      </c>
      <c r="E87" s="904"/>
      <c r="F87" s="904" t="s">
        <v>86</v>
      </c>
      <c r="G87" s="904" t="s">
        <v>1079</v>
      </c>
      <c r="H87" s="904" t="s">
        <v>187</v>
      </c>
      <c r="I87" s="904" t="s">
        <v>1080</v>
      </c>
      <c r="J87" s="1041">
        <v>3000</v>
      </c>
      <c r="K87" s="1041"/>
      <c r="L87" s="1041"/>
      <c r="M87" s="1041">
        <v>3000</v>
      </c>
      <c r="N87" s="1041">
        <v>2300</v>
      </c>
      <c r="O87" s="1041"/>
      <c r="P87" s="1041"/>
      <c r="Q87" s="1041">
        <v>2300</v>
      </c>
      <c r="R87" s="1041">
        <v>2300</v>
      </c>
      <c r="S87" s="1041"/>
      <c r="T87" s="1041"/>
      <c r="U87" s="1041">
        <v>2300</v>
      </c>
      <c r="V87" s="1053">
        <v>514</v>
      </c>
      <c r="W87" s="1041">
        <f>SUM(X87:AA87)</f>
        <v>514</v>
      </c>
      <c r="X87" s="1041"/>
      <c r="Y87" s="1041"/>
      <c r="Z87" s="1041">
        <v>514</v>
      </c>
      <c r="AA87" s="1041"/>
      <c r="AB87" s="1043" t="s">
        <v>1319</v>
      </c>
      <c r="AC87" s="902">
        <f t="shared" si="54"/>
        <v>0</v>
      </c>
      <c r="AJ87" s="925" t="s">
        <v>1308</v>
      </c>
    </row>
    <row r="88" spans="1:50" s="911" customFormat="1" ht="53.25" customHeight="1">
      <c r="A88" s="1044" t="s">
        <v>467</v>
      </c>
      <c r="B88" s="913" t="s">
        <v>56</v>
      </c>
      <c r="C88" s="1038" t="s">
        <v>54</v>
      </c>
      <c r="D88" s="937"/>
      <c r="E88" s="937"/>
      <c r="F88" s="937"/>
      <c r="G88" s="937"/>
      <c r="H88" s="937"/>
      <c r="I88" s="937"/>
      <c r="J88" s="1045">
        <f t="shared" ref="J88:AA88" si="59">+SUM(J89:J92)</f>
        <v>3850</v>
      </c>
      <c r="K88" s="1045">
        <f t="shared" si="59"/>
        <v>0</v>
      </c>
      <c r="L88" s="1045">
        <f t="shared" si="59"/>
        <v>0</v>
      </c>
      <c r="M88" s="1045">
        <f t="shared" si="59"/>
        <v>3850</v>
      </c>
      <c r="N88" s="1045">
        <f t="shared" si="59"/>
        <v>3430</v>
      </c>
      <c r="O88" s="1045">
        <f t="shared" si="59"/>
        <v>0</v>
      </c>
      <c r="P88" s="1045">
        <f t="shared" si="59"/>
        <v>0</v>
      </c>
      <c r="Q88" s="1045">
        <f t="shared" si="59"/>
        <v>3430</v>
      </c>
      <c r="R88" s="1045">
        <f t="shared" si="59"/>
        <v>3430</v>
      </c>
      <c r="S88" s="1045">
        <f t="shared" si="59"/>
        <v>0</v>
      </c>
      <c r="T88" s="1045">
        <f t="shared" si="59"/>
        <v>0</v>
      </c>
      <c r="U88" s="1045">
        <f t="shared" si="59"/>
        <v>3430</v>
      </c>
      <c r="V88" s="1045">
        <f>+SUM(V89:V92)</f>
        <v>420</v>
      </c>
      <c r="W88" s="1041">
        <f>SUM(X88:AA88)</f>
        <v>420</v>
      </c>
      <c r="X88" s="1045">
        <f t="shared" si="59"/>
        <v>0</v>
      </c>
      <c r="Y88" s="1045">
        <f t="shared" si="59"/>
        <v>0</v>
      </c>
      <c r="Z88" s="1045">
        <f t="shared" si="59"/>
        <v>420</v>
      </c>
      <c r="AA88" s="1045">
        <f t="shared" si="59"/>
        <v>0</v>
      </c>
      <c r="AB88" s="1046"/>
      <c r="AC88" s="902">
        <f t="shared" si="54"/>
        <v>0</v>
      </c>
      <c r="AJ88" s="925"/>
    </row>
    <row r="89" spans="1:50" s="8" customFormat="1" ht="57.75" customHeight="1">
      <c r="A89" s="32" t="s">
        <v>144</v>
      </c>
      <c r="B89" s="15" t="s">
        <v>1081</v>
      </c>
      <c r="C89" s="1038" t="s">
        <v>54</v>
      </c>
      <c r="D89" s="904">
        <v>8153242</v>
      </c>
      <c r="E89" s="904"/>
      <c r="F89" s="13" t="s">
        <v>1082</v>
      </c>
      <c r="G89" s="13" t="s">
        <v>1083</v>
      </c>
      <c r="H89" s="13">
        <v>2025</v>
      </c>
      <c r="I89" s="13" t="s">
        <v>1084</v>
      </c>
      <c r="J89" s="476">
        <v>1000</v>
      </c>
      <c r="K89" s="476"/>
      <c r="L89" s="476"/>
      <c r="M89" s="476">
        <v>1000</v>
      </c>
      <c r="N89" s="476">
        <v>900</v>
      </c>
      <c r="O89" s="476"/>
      <c r="P89" s="476"/>
      <c r="Q89" s="476">
        <v>900</v>
      </c>
      <c r="R89" s="476">
        <v>900</v>
      </c>
      <c r="S89" s="476"/>
      <c r="T89" s="476"/>
      <c r="U89" s="476">
        <v>900</v>
      </c>
      <c r="V89" s="476">
        <v>100</v>
      </c>
      <c r="W89" s="476">
        <f t="shared" ref="W89:W92" si="60">SUM(X89:AA89)</f>
        <v>100</v>
      </c>
      <c r="X89" s="476"/>
      <c r="Y89" s="476"/>
      <c r="Z89" s="476">
        <v>100</v>
      </c>
      <c r="AA89" s="476"/>
      <c r="AB89" s="478" t="s">
        <v>1622</v>
      </c>
      <c r="AC89" s="380">
        <f t="shared" si="54"/>
        <v>0</v>
      </c>
      <c r="AI89" s="903"/>
      <c r="AJ89" s="925" t="s">
        <v>685</v>
      </c>
      <c r="AK89" s="903"/>
      <c r="AL89" s="903"/>
      <c r="AM89" s="903"/>
      <c r="AN89" s="903"/>
      <c r="AO89" s="903"/>
      <c r="AP89" s="903"/>
      <c r="AQ89" s="903"/>
      <c r="AR89" s="903"/>
      <c r="AS89" s="903"/>
      <c r="AT89" s="903"/>
      <c r="AU89" s="903"/>
      <c r="AV89" s="903"/>
      <c r="AW89" s="903"/>
      <c r="AX89" s="903"/>
    </row>
    <row r="90" spans="1:50" s="8" customFormat="1" ht="68.25" customHeight="1">
      <c r="A90" s="32" t="s">
        <v>144</v>
      </c>
      <c r="B90" s="15" t="s">
        <v>1085</v>
      </c>
      <c r="C90" s="1038" t="s">
        <v>54</v>
      </c>
      <c r="D90" s="904">
        <v>8153241</v>
      </c>
      <c r="E90" s="904"/>
      <c r="F90" s="13" t="s">
        <v>1086</v>
      </c>
      <c r="G90" s="13" t="s">
        <v>1083</v>
      </c>
      <c r="H90" s="13">
        <v>2025</v>
      </c>
      <c r="I90" s="13" t="s">
        <v>1087</v>
      </c>
      <c r="J90" s="476">
        <v>1150</v>
      </c>
      <c r="K90" s="476"/>
      <c r="L90" s="476"/>
      <c r="M90" s="476">
        <v>1150</v>
      </c>
      <c r="N90" s="476">
        <v>1000</v>
      </c>
      <c r="O90" s="476"/>
      <c r="P90" s="476"/>
      <c r="Q90" s="476">
        <v>1000</v>
      </c>
      <c r="R90" s="476">
        <v>1000</v>
      </c>
      <c r="S90" s="476"/>
      <c r="T90" s="476"/>
      <c r="U90" s="476">
        <v>1000</v>
      </c>
      <c r="V90" s="407">
        <v>150</v>
      </c>
      <c r="W90" s="476">
        <f t="shared" si="60"/>
        <v>150</v>
      </c>
      <c r="X90" s="476"/>
      <c r="Y90" s="476"/>
      <c r="Z90" s="476">
        <v>150</v>
      </c>
      <c r="AA90" s="476"/>
      <c r="AB90" s="478" t="s">
        <v>1622</v>
      </c>
      <c r="AC90" s="380">
        <f t="shared" si="54"/>
        <v>0</v>
      </c>
      <c r="AI90" s="903"/>
      <c r="AJ90" s="925" t="s">
        <v>685</v>
      </c>
      <c r="AK90" s="903"/>
      <c r="AL90" s="903"/>
      <c r="AM90" s="903"/>
      <c r="AN90" s="903"/>
      <c r="AO90" s="903"/>
      <c r="AP90" s="903"/>
      <c r="AQ90" s="903"/>
      <c r="AR90" s="903"/>
      <c r="AS90" s="903"/>
      <c r="AT90" s="903"/>
      <c r="AU90" s="903"/>
      <c r="AV90" s="903"/>
      <c r="AW90" s="903"/>
      <c r="AX90" s="903"/>
    </row>
    <row r="91" spans="1:50" s="8" customFormat="1" ht="57.75" customHeight="1">
      <c r="A91" s="32" t="s">
        <v>144</v>
      </c>
      <c r="B91" s="15" t="s">
        <v>1088</v>
      </c>
      <c r="C91" s="1038" t="s">
        <v>54</v>
      </c>
      <c r="D91" s="904">
        <v>8153240</v>
      </c>
      <c r="E91" s="904"/>
      <c r="F91" s="13" t="s">
        <v>1089</v>
      </c>
      <c r="G91" s="13" t="s">
        <v>1083</v>
      </c>
      <c r="H91" s="13">
        <v>2025</v>
      </c>
      <c r="I91" s="13" t="s">
        <v>1090</v>
      </c>
      <c r="J91" s="476">
        <v>700</v>
      </c>
      <c r="K91" s="476"/>
      <c r="L91" s="476"/>
      <c r="M91" s="476">
        <v>700</v>
      </c>
      <c r="N91" s="476">
        <v>630</v>
      </c>
      <c r="O91" s="476"/>
      <c r="P91" s="476"/>
      <c r="Q91" s="476">
        <v>630</v>
      </c>
      <c r="R91" s="476">
        <v>630</v>
      </c>
      <c r="S91" s="476"/>
      <c r="T91" s="476"/>
      <c r="U91" s="476">
        <v>630</v>
      </c>
      <c r="V91" s="476">
        <v>70</v>
      </c>
      <c r="W91" s="476">
        <f t="shared" si="60"/>
        <v>70</v>
      </c>
      <c r="X91" s="476"/>
      <c r="Y91" s="476"/>
      <c r="Z91" s="476">
        <v>70</v>
      </c>
      <c r="AA91" s="476"/>
      <c r="AB91" s="478" t="s">
        <v>1622</v>
      </c>
      <c r="AC91" s="380">
        <f t="shared" si="54"/>
        <v>0</v>
      </c>
      <c r="AI91" s="903"/>
      <c r="AJ91" s="925" t="s">
        <v>685</v>
      </c>
      <c r="AK91" s="903"/>
      <c r="AL91" s="903"/>
      <c r="AM91" s="903"/>
      <c r="AN91" s="903"/>
      <c r="AO91" s="903"/>
      <c r="AP91" s="903"/>
      <c r="AQ91" s="903"/>
      <c r="AR91" s="903"/>
      <c r="AS91" s="903"/>
      <c r="AT91" s="903"/>
      <c r="AU91" s="903"/>
      <c r="AV91" s="903"/>
      <c r="AW91" s="903"/>
      <c r="AX91" s="903"/>
    </row>
    <row r="92" spans="1:50" s="8" customFormat="1" ht="57.75" customHeight="1">
      <c r="A92" s="32" t="s">
        <v>144</v>
      </c>
      <c r="B92" s="15" t="s">
        <v>1091</v>
      </c>
      <c r="C92" s="1038" t="s">
        <v>54</v>
      </c>
      <c r="D92" s="904">
        <v>8155867</v>
      </c>
      <c r="E92" s="904"/>
      <c r="F92" s="13" t="s">
        <v>1089</v>
      </c>
      <c r="G92" s="13" t="s">
        <v>1083</v>
      </c>
      <c r="H92" s="13">
        <v>2025</v>
      </c>
      <c r="I92" s="13" t="s">
        <v>1092</v>
      </c>
      <c r="J92" s="476">
        <v>1000</v>
      </c>
      <c r="K92" s="476"/>
      <c r="L92" s="476"/>
      <c r="M92" s="476">
        <v>1000</v>
      </c>
      <c r="N92" s="476">
        <v>900</v>
      </c>
      <c r="O92" s="476"/>
      <c r="P92" s="476"/>
      <c r="Q92" s="476">
        <v>900</v>
      </c>
      <c r="R92" s="476">
        <v>900</v>
      </c>
      <c r="S92" s="476"/>
      <c r="T92" s="476"/>
      <c r="U92" s="476">
        <v>900</v>
      </c>
      <c r="V92" s="476">
        <v>100</v>
      </c>
      <c r="W92" s="476">
        <f t="shared" si="60"/>
        <v>100</v>
      </c>
      <c r="X92" s="476"/>
      <c r="Y92" s="476"/>
      <c r="Z92" s="476">
        <v>100</v>
      </c>
      <c r="AA92" s="476"/>
      <c r="AB92" s="478" t="s">
        <v>1622</v>
      </c>
      <c r="AC92" s="380">
        <f t="shared" si="54"/>
        <v>0</v>
      </c>
      <c r="AI92" s="903"/>
      <c r="AJ92" s="925" t="s">
        <v>685</v>
      </c>
      <c r="AK92" s="903"/>
      <c r="AL92" s="903"/>
      <c r="AM92" s="903"/>
      <c r="AN92" s="903"/>
      <c r="AO92" s="903"/>
      <c r="AP92" s="903"/>
      <c r="AQ92" s="903"/>
      <c r="AR92" s="903"/>
      <c r="AS92" s="903"/>
      <c r="AT92" s="903"/>
      <c r="AU92" s="903"/>
      <c r="AV92" s="903"/>
      <c r="AW92" s="903"/>
      <c r="AX92" s="903"/>
    </row>
    <row r="93" spans="1:50" s="911" customFormat="1" ht="28.5" customHeight="1">
      <c r="A93" s="1044" t="s">
        <v>1306</v>
      </c>
      <c r="B93" s="1035" t="s">
        <v>1314</v>
      </c>
      <c r="C93" s="1038" t="s">
        <v>54</v>
      </c>
      <c r="D93" s="937"/>
      <c r="E93" s="937"/>
      <c r="F93" s="937"/>
      <c r="G93" s="937"/>
      <c r="H93" s="937"/>
      <c r="I93" s="937"/>
      <c r="J93" s="1045"/>
      <c r="K93" s="1045"/>
      <c r="L93" s="1045"/>
      <c r="M93" s="1045"/>
      <c r="N93" s="1045"/>
      <c r="O93" s="1045"/>
      <c r="P93" s="1045"/>
      <c r="Q93" s="1045"/>
      <c r="R93" s="1045"/>
      <c r="S93" s="1045"/>
      <c r="T93" s="1045"/>
      <c r="U93" s="1045"/>
      <c r="V93" s="1045"/>
      <c r="W93" s="1045"/>
      <c r="X93" s="1045"/>
      <c r="Y93" s="1045"/>
      <c r="Z93" s="1045"/>
      <c r="AA93" s="1045"/>
      <c r="AB93" s="1046"/>
      <c r="AC93" s="902">
        <f t="shared" si="54"/>
        <v>0</v>
      </c>
    </row>
    <row r="94" spans="1:50" s="964" customFormat="1" ht="31.5" customHeight="1">
      <c r="A94" s="1051">
        <v>9</v>
      </c>
      <c r="B94" s="988" t="s">
        <v>55</v>
      </c>
      <c r="C94" s="958" t="s">
        <v>55</v>
      </c>
      <c r="D94" s="897"/>
      <c r="E94" s="897"/>
      <c r="F94" s="897"/>
      <c r="G94" s="897"/>
      <c r="H94" s="897"/>
      <c r="I94" s="897"/>
      <c r="J94" s="1047">
        <f t="shared" ref="J94:AA94" si="61">J95</f>
        <v>465940</v>
      </c>
      <c r="K94" s="1047">
        <f t="shared" si="61"/>
        <v>0</v>
      </c>
      <c r="L94" s="1047">
        <f t="shared" si="61"/>
        <v>379692</v>
      </c>
      <c r="M94" s="1047">
        <f t="shared" si="61"/>
        <v>86248</v>
      </c>
      <c r="N94" s="1047">
        <f t="shared" si="61"/>
        <v>114000</v>
      </c>
      <c r="O94" s="1047">
        <f t="shared" si="61"/>
        <v>0</v>
      </c>
      <c r="P94" s="1047">
        <f t="shared" si="61"/>
        <v>114000</v>
      </c>
      <c r="Q94" s="1047">
        <f t="shared" si="61"/>
        <v>0</v>
      </c>
      <c r="R94" s="1047">
        <f t="shared" si="61"/>
        <v>114000</v>
      </c>
      <c r="S94" s="1047">
        <f t="shared" si="61"/>
        <v>0</v>
      </c>
      <c r="T94" s="1047">
        <f t="shared" si="61"/>
        <v>114000</v>
      </c>
      <c r="U94" s="1047">
        <f t="shared" si="61"/>
        <v>0</v>
      </c>
      <c r="V94" s="1047">
        <f t="shared" si="61"/>
        <v>86248</v>
      </c>
      <c r="W94" s="1047">
        <f t="shared" si="61"/>
        <v>62188</v>
      </c>
      <c r="X94" s="1047">
        <f t="shared" si="61"/>
        <v>0</v>
      </c>
      <c r="Y94" s="1047">
        <f t="shared" si="61"/>
        <v>0</v>
      </c>
      <c r="Z94" s="1047">
        <f t="shared" si="61"/>
        <v>62188</v>
      </c>
      <c r="AA94" s="1047">
        <f t="shared" si="61"/>
        <v>0</v>
      </c>
      <c r="AB94" s="1048"/>
      <c r="AC94" s="902">
        <f t="shared" si="54"/>
        <v>0</v>
      </c>
    </row>
    <row r="95" spans="1:50" s="951" customFormat="1" ht="31.5" customHeight="1">
      <c r="A95" s="1052" t="s">
        <v>1332</v>
      </c>
      <c r="B95" s="990" t="s">
        <v>38</v>
      </c>
      <c r="C95" s="958" t="s">
        <v>55</v>
      </c>
      <c r="D95" s="948"/>
      <c r="E95" s="948"/>
      <c r="F95" s="948"/>
      <c r="G95" s="948"/>
      <c r="H95" s="948"/>
      <c r="I95" s="948"/>
      <c r="J95" s="1049">
        <f t="shared" ref="J95:AA95" si="62">J97+J96+J100</f>
        <v>465940</v>
      </c>
      <c r="K95" s="1049">
        <f t="shared" si="62"/>
        <v>0</v>
      </c>
      <c r="L95" s="1049">
        <f t="shared" si="62"/>
        <v>379692</v>
      </c>
      <c r="M95" s="1049">
        <f t="shared" si="62"/>
        <v>86248</v>
      </c>
      <c r="N95" s="1049">
        <f t="shared" si="62"/>
        <v>114000</v>
      </c>
      <c r="O95" s="1049">
        <f t="shared" si="62"/>
        <v>0</v>
      </c>
      <c r="P95" s="1049">
        <f t="shared" si="62"/>
        <v>114000</v>
      </c>
      <c r="Q95" s="1049">
        <f t="shared" si="62"/>
        <v>0</v>
      </c>
      <c r="R95" s="1049">
        <f t="shared" si="62"/>
        <v>114000</v>
      </c>
      <c r="S95" s="1049">
        <f t="shared" si="62"/>
        <v>0</v>
      </c>
      <c r="T95" s="1049">
        <f t="shared" si="62"/>
        <v>114000</v>
      </c>
      <c r="U95" s="1049">
        <f t="shared" si="62"/>
        <v>0</v>
      </c>
      <c r="V95" s="1049">
        <f t="shared" si="62"/>
        <v>86248</v>
      </c>
      <c r="W95" s="1049">
        <f t="shared" si="62"/>
        <v>62188</v>
      </c>
      <c r="X95" s="1049">
        <f t="shared" si="62"/>
        <v>0</v>
      </c>
      <c r="Y95" s="1049">
        <f t="shared" si="62"/>
        <v>0</v>
      </c>
      <c r="Z95" s="1049">
        <f t="shared" si="62"/>
        <v>62188</v>
      </c>
      <c r="AA95" s="1049">
        <f t="shared" si="62"/>
        <v>0</v>
      </c>
      <c r="AB95" s="1050"/>
      <c r="AC95" s="902">
        <f t="shared" si="54"/>
        <v>0</v>
      </c>
    </row>
    <row r="96" spans="1:50" s="951" customFormat="1" ht="31.5" customHeight="1">
      <c r="A96" s="1044" t="s">
        <v>39</v>
      </c>
      <c r="B96" s="913" t="s">
        <v>1254</v>
      </c>
      <c r="C96" s="958" t="s">
        <v>55</v>
      </c>
      <c r="D96" s="948"/>
      <c r="E96" s="948"/>
      <c r="F96" s="948"/>
      <c r="G96" s="948"/>
      <c r="H96" s="948"/>
      <c r="I96" s="948"/>
      <c r="J96" s="1049"/>
      <c r="K96" s="1049"/>
      <c r="L96" s="1049"/>
      <c r="M96" s="1049"/>
      <c r="N96" s="1049"/>
      <c r="O96" s="1049"/>
      <c r="P96" s="1049"/>
      <c r="Q96" s="1049"/>
      <c r="R96" s="1049"/>
      <c r="S96" s="1049"/>
      <c r="T96" s="1049"/>
      <c r="U96" s="1049"/>
      <c r="V96" s="1049"/>
      <c r="W96" s="1049"/>
      <c r="X96" s="1049"/>
      <c r="Y96" s="1049"/>
      <c r="Z96" s="1049"/>
      <c r="AA96" s="1049"/>
      <c r="AB96" s="1050"/>
      <c r="AC96" s="902">
        <f t="shared" si="54"/>
        <v>0</v>
      </c>
    </row>
    <row r="97" spans="1:50" s="911" customFormat="1" ht="52.5" customHeight="1">
      <c r="A97" s="1044" t="s">
        <v>467</v>
      </c>
      <c r="B97" s="913" t="s">
        <v>56</v>
      </c>
      <c r="C97" s="958" t="s">
        <v>55</v>
      </c>
      <c r="D97" s="937"/>
      <c r="E97" s="937"/>
      <c r="F97" s="937"/>
      <c r="G97" s="937"/>
      <c r="H97" s="937"/>
      <c r="I97" s="937"/>
      <c r="J97" s="1045">
        <f t="shared" ref="J97:AA97" si="63">SUM(J98:J99)</f>
        <v>465940</v>
      </c>
      <c r="K97" s="1045">
        <f t="shared" si="63"/>
        <v>0</v>
      </c>
      <c r="L97" s="1045">
        <f t="shared" si="63"/>
        <v>379692</v>
      </c>
      <c r="M97" s="1045">
        <f t="shared" si="63"/>
        <v>86248</v>
      </c>
      <c r="N97" s="1045">
        <f t="shared" si="63"/>
        <v>114000</v>
      </c>
      <c r="O97" s="1045">
        <f t="shared" si="63"/>
        <v>0</v>
      </c>
      <c r="P97" s="1045">
        <f t="shared" si="63"/>
        <v>114000</v>
      </c>
      <c r="Q97" s="1045">
        <f t="shared" si="63"/>
        <v>0</v>
      </c>
      <c r="R97" s="1045">
        <f t="shared" si="63"/>
        <v>114000</v>
      </c>
      <c r="S97" s="1045">
        <f t="shared" si="63"/>
        <v>0</v>
      </c>
      <c r="T97" s="1045">
        <f t="shared" si="63"/>
        <v>114000</v>
      </c>
      <c r="U97" s="1045">
        <f t="shared" si="63"/>
        <v>0</v>
      </c>
      <c r="V97" s="1045">
        <f t="shared" si="63"/>
        <v>86248</v>
      </c>
      <c r="W97" s="1045">
        <f>SUM(W98:W99)</f>
        <v>62188</v>
      </c>
      <c r="X97" s="1045">
        <f t="shared" si="63"/>
        <v>0</v>
      </c>
      <c r="Y97" s="1045">
        <f t="shared" si="63"/>
        <v>0</v>
      </c>
      <c r="Z97" s="1045">
        <f t="shared" si="63"/>
        <v>62188</v>
      </c>
      <c r="AA97" s="1045">
        <f t="shared" si="63"/>
        <v>0</v>
      </c>
      <c r="AB97" s="1046"/>
      <c r="AC97" s="902">
        <f t="shared" si="54"/>
        <v>0</v>
      </c>
    </row>
    <row r="98" spans="1:50" s="8" customFormat="1" ht="49.5" customHeight="1">
      <c r="A98" s="32" t="s">
        <v>144</v>
      </c>
      <c r="B98" s="15" t="s">
        <v>1093</v>
      </c>
      <c r="C98" s="958" t="s">
        <v>55</v>
      </c>
      <c r="D98" s="904">
        <v>8163794</v>
      </c>
      <c r="E98" s="904"/>
      <c r="F98" s="13" t="s">
        <v>1094</v>
      </c>
      <c r="G98" s="13" t="s">
        <v>776</v>
      </c>
      <c r="H98" s="13" t="s">
        <v>207</v>
      </c>
      <c r="I98" s="13" t="s">
        <v>763</v>
      </c>
      <c r="J98" s="476">
        <v>225940</v>
      </c>
      <c r="K98" s="476"/>
      <c r="L98" s="476">
        <v>189846</v>
      </c>
      <c r="M98" s="476">
        <v>36094</v>
      </c>
      <c r="N98" s="476">
        <v>57000</v>
      </c>
      <c r="O98" s="476"/>
      <c r="P98" s="476">
        <v>57000</v>
      </c>
      <c r="Q98" s="476"/>
      <c r="R98" s="476">
        <v>57000</v>
      </c>
      <c r="S98" s="476"/>
      <c r="T98" s="476">
        <v>57000</v>
      </c>
      <c r="U98" s="476"/>
      <c r="V98" s="407">
        <v>36094</v>
      </c>
      <c r="W98" s="476">
        <f>SUM(X98:AA98)</f>
        <v>36094</v>
      </c>
      <c r="X98" s="476"/>
      <c r="Y98" s="476"/>
      <c r="Z98" s="476">
        <v>36094</v>
      </c>
      <c r="AA98" s="476"/>
      <c r="AB98" s="478" t="s">
        <v>1622</v>
      </c>
      <c r="AC98" s="380">
        <f t="shared" si="54"/>
        <v>0</v>
      </c>
      <c r="AI98" s="903"/>
      <c r="AJ98" s="925" t="s">
        <v>685</v>
      </c>
      <c r="AK98" s="903"/>
      <c r="AL98" s="903"/>
      <c r="AM98" s="903"/>
      <c r="AN98" s="903"/>
      <c r="AO98" s="903"/>
      <c r="AP98" s="903"/>
      <c r="AQ98" s="903"/>
      <c r="AR98" s="903"/>
      <c r="AS98" s="903"/>
      <c r="AT98" s="903"/>
      <c r="AU98" s="903"/>
      <c r="AV98" s="903"/>
      <c r="AW98" s="903"/>
      <c r="AX98" s="903"/>
    </row>
    <row r="99" spans="1:50" s="8" customFormat="1" ht="66.75" customHeight="1">
      <c r="A99" s="32" t="s">
        <v>144</v>
      </c>
      <c r="B99" s="15" t="s">
        <v>1095</v>
      </c>
      <c r="C99" s="958" t="s">
        <v>55</v>
      </c>
      <c r="D99" s="904">
        <v>8163795</v>
      </c>
      <c r="E99" s="904"/>
      <c r="F99" s="13" t="s">
        <v>1096</v>
      </c>
      <c r="G99" s="13" t="s">
        <v>776</v>
      </c>
      <c r="H99" s="13" t="s">
        <v>207</v>
      </c>
      <c r="I99" s="13" t="s">
        <v>1097</v>
      </c>
      <c r="J99" s="476">
        <v>240000</v>
      </c>
      <c r="K99" s="476"/>
      <c r="L99" s="476">
        <v>189846</v>
      </c>
      <c r="M99" s="476">
        <v>50154</v>
      </c>
      <c r="N99" s="476">
        <v>57000</v>
      </c>
      <c r="O99" s="476"/>
      <c r="P99" s="476">
        <v>57000</v>
      </c>
      <c r="Q99" s="476"/>
      <c r="R99" s="476">
        <v>57000</v>
      </c>
      <c r="S99" s="476"/>
      <c r="T99" s="476">
        <v>57000</v>
      </c>
      <c r="U99" s="476"/>
      <c r="V99" s="407">
        <v>50154</v>
      </c>
      <c r="W99" s="476">
        <f>SUM(X99:AA99)</f>
        <v>26094</v>
      </c>
      <c r="X99" s="476"/>
      <c r="Y99" s="476"/>
      <c r="Z99" s="476">
        <f>50154-24060</f>
        <v>26094</v>
      </c>
      <c r="AA99" s="476"/>
      <c r="AB99" s="478"/>
      <c r="AC99" s="380">
        <f t="shared" si="54"/>
        <v>0</v>
      </c>
      <c r="AI99" s="903"/>
      <c r="AJ99" s="925" t="s">
        <v>685</v>
      </c>
      <c r="AK99" s="903"/>
      <c r="AL99" s="903"/>
      <c r="AM99" s="903"/>
      <c r="AN99" s="903"/>
      <c r="AO99" s="903"/>
      <c r="AP99" s="903"/>
      <c r="AQ99" s="903"/>
      <c r="AR99" s="903"/>
      <c r="AS99" s="903"/>
      <c r="AT99" s="903"/>
      <c r="AU99" s="903"/>
      <c r="AV99" s="903"/>
      <c r="AW99" s="903"/>
      <c r="AX99" s="903"/>
    </row>
    <row r="100" spans="1:50" s="911" customFormat="1" ht="28.5" customHeight="1">
      <c r="A100" s="1044" t="s">
        <v>1306</v>
      </c>
      <c r="B100" s="1035" t="s">
        <v>1314</v>
      </c>
      <c r="C100" s="958"/>
      <c r="D100" s="937"/>
      <c r="E100" s="937"/>
      <c r="F100" s="937"/>
      <c r="G100" s="937"/>
      <c r="H100" s="937"/>
      <c r="I100" s="937"/>
      <c r="J100" s="1045"/>
      <c r="K100" s="1045"/>
      <c r="L100" s="1045"/>
      <c r="M100" s="1045"/>
      <c r="N100" s="1045"/>
      <c r="O100" s="1045"/>
      <c r="P100" s="1045"/>
      <c r="Q100" s="1045"/>
      <c r="R100" s="1045"/>
      <c r="S100" s="1045"/>
      <c r="T100" s="1045"/>
      <c r="U100" s="1045"/>
      <c r="V100" s="1045"/>
      <c r="W100" s="1045"/>
      <c r="X100" s="1045"/>
      <c r="Y100" s="1045"/>
      <c r="Z100" s="1045"/>
      <c r="AA100" s="1045"/>
      <c r="AB100" s="1046"/>
      <c r="AC100" s="902">
        <f t="shared" si="54"/>
        <v>0</v>
      </c>
    </row>
    <row r="101" spans="1:50" s="964" customFormat="1" ht="36.75" customHeight="1">
      <c r="A101" s="1051">
        <v>10</v>
      </c>
      <c r="B101" s="896" t="s">
        <v>857</v>
      </c>
      <c r="C101" s="1038" t="s">
        <v>857</v>
      </c>
      <c r="D101" s="897"/>
      <c r="E101" s="897"/>
      <c r="F101" s="897"/>
      <c r="G101" s="897"/>
      <c r="H101" s="897"/>
      <c r="I101" s="897"/>
      <c r="J101" s="1047">
        <f>+J102</f>
        <v>24954.04</v>
      </c>
      <c r="K101" s="1047">
        <f t="shared" ref="K101:AA101" si="64">+K102</f>
        <v>0</v>
      </c>
      <c r="L101" s="1047">
        <f t="shared" si="64"/>
        <v>0</v>
      </c>
      <c r="M101" s="1047">
        <f t="shared" si="64"/>
        <v>24954.04</v>
      </c>
      <c r="N101" s="1047">
        <f t="shared" si="64"/>
        <v>22954.04</v>
      </c>
      <c r="O101" s="1047">
        <f t="shared" si="64"/>
        <v>0</v>
      </c>
      <c r="P101" s="1047">
        <f t="shared" si="64"/>
        <v>0</v>
      </c>
      <c r="Q101" s="1047">
        <f t="shared" si="64"/>
        <v>22954.04</v>
      </c>
      <c r="R101" s="1047">
        <f t="shared" si="64"/>
        <v>19967</v>
      </c>
      <c r="S101" s="1047">
        <f t="shared" si="64"/>
        <v>0</v>
      </c>
      <c r="T101" s="1047">
        <f t="shared" si="64"/>
        <v>0</v>
      </c>
      <c r="U101" s="1047">
        <f t="shared" si="64"/>
        <v>19967</v>
      </c>
      <c r="V101" s="1047">
        <f t="shared" si="64"/>
        <v>4987</v>
      </c>
      <c r="W101" s="1047">
        <f t="shared" si="64"/>
        <v>4987</v>
      </c>
      <c r="X101" s="1047">
        <f t="shared" si="64"/>
        <v>4987</v>
      </c>
      <c r="Y101" s="1047">
        <f t="shared" si="64"/>
        <v>0</v>
      </c>
      <c r="Z101" s="1047">
        <f t="shared" si="64"/>
        <v>0</v>
      </c>
      <c r="AA101" s="1047">
        <f t="shared" si="64"/>
        <v>0</v>
      </c>
      <c r="AB101" s="1048"/>
      <c r="AC101" s="902">
        <f t="shared" si="54"/>
        <v>0</v>
      </c>
    </row>
    <row r="102" spans="1:50" s="951" customFormat="1" ht="36.75" customHeight="1">
      <c r="A102" s="1052" t="s">
        <v>1320</v>
      </c>
      <c r="B102" s="990" t="s">
        <v>38</v>
      </c>
      <c r="C102" s="1038" t="s">
        <v>857</v>
      </c>
      <c r="D102" s="948"/>
      <c r="E102" s="948"/>
      <c r="F102" s="948"/>
      <c r="G102" s="948"/>
      <c r="H102" s="948"/>
      <c r="I102" s="948"/>
      <c r="J102" s="1049">
        <f>+J103+J108+J114</f>
        <v>24954.04</v>
      </c>
      <c r="K102" s="1049">
        <f t="shared" ref="K102:AA102" si="65">+K103+K108+K114</f>
        <v>0</v>
      </c>
      <c r="L102" s="1049">
        <f t="shared" si="65"/>
        <v>0</v>
      </c>
      <c r="M102" s="1049">
        <f t="shared" si="65"/>
        <v>24954.04</v>
      </c>
      <c r="N102" s="1049">
        <f t="shared" si="65"/>
        <v>22954.04</v>
      </c>
      <c r="O102" s="1049">
        <f t="shared" si="65"/>
        <v>0</v>
      </c>
      <c r="P102" s="1049">
        <f t="shared" si="65"/>
        <v>0</v>
      </c>
      <c r="Q102" s="1049">
        <f t="shared" si="65"/>
        <v>22954.04</v>
      </c>
      <c r="R102" s="1049">
        <f t="shared" si="65"/>
        <v>19967</v>
      </c>
      <c r="S102" s="1049">
        <f t="shared" si="65"/>
        <v>0</v>
      </c>
      <c r="T102" s="1049">
        <f t="shared" si="65"/>
        <v>0</v>
      </c>
      <c r="U102" s="1049">
        <f t="shared" si="65"/>
        <v>19967</v>
      </c>
      <c r="V102" s="1049">
        <f t="shared" si="65"/>
        <v>4987</v>
      </c>
      <c r="W102" s="1049">
        <f t="shared" si="65"/>
        <v>4987</v>
      </c>
      <c r="X102" s="1049">
        <f t="shared" si="65"/>
        <v>4987</v>
      </c>
      <c r="Y102" s="1049">
        <f t="shared" si="65"/>
        <v>0</v>
      </c>
      <c r="Z102" s="1049">
        <f t="shared" si="65"/>
        <v>0</v>
      </c>
      <c r="AA102" s="1049">
        <f t="shared" si="65"/>
        <v>0</v>
      </c>
      <c r="AB102" s="1050"/>
      <c r="AC102" s="902">
        <f t="shared" si="54"/>
        <v>0</v>
      </c>
    </row>
    <row r="103" spans="1:50" s="911" customFormat="1" ht="36.75" customHeight="1">
      <c r="A103" s="1044" t="s">
        <v>39</v>
      </c>
      <c r="B103" s="913" t="s">
        <v>1254</v>
      </c>
      <c r="C103" s="1038" t="s">
        <v>857</v>
      </c>
      <c r="D103" s="937"/>
      <c r="E103" s="937"/>
      <c r="F103" s="937"/>
      <c r="G103" s="937"/>
      <c r="H103" s="937"/>
      <c r="I103" s="937"/>
      <c r="J103" s="1045">
        <f>+SUM(J104:J107)</f>
        <v>12454.04</v>
      </c>
      <c r="K103" s="1045">
        <f t="shared" ref="K103:W103" si="66">+SUM(K104:K107)</f>
        <v>0</v>
      </c>
      <c r="L103" s="1045">
        <f t="shared" si="66"/>
        <v>0</v>
      </c>
      <c r="M103" s="1045">
        <f t="shared" si="66"/>
        <v>12454.04</v>
      </c>
      <c r="N103" s="1045">
        <f t="shared" si="66"/>
        <v>12454.04</v>
      </c>
      <c r="O103" s="1045">
        <f t="shared" si="66"/>
        <v>0</v>
      </c>
      <c r="P103" s="1045">
        <f t="shared" si="66"/>
        <v>0</v>
      </c>
      <c r="Q103" s="1045">
        <f t="shared" si="66"/>
        <v>12454.04</v>
      </c>
      <c r="R103" s="1045">
        <f t="shared" si="66"/>
        <v>11267</v>
      </c>
      <c r="S103" s="1045">
        <f t="shared" si="66"/>
        <v>0</v>
      </c>
      <c r="T103" s="1045">
        <f t="shared" si="66"/>
        <v>0</v>
      </c>
      <c r="U103" s="1045">
        <f t="shared" si="66"/>
        <v>11267</v>
      </c>
      <c r="V103" s="1045">
        <f t="shared" si="66"/>
        <v>1187</v>
      </c>
      <c r="W103" s="1045">
        <f t="shared" si="66"/>
        <v>1187</v>
      </c>
      <c r="X103" s="1045">
        <f>+SUM(X104:X107)</f>
        <v>1187</v>
      </c>
      <c r="Y103" s="1045">
        <f t="shared" ref="Y103:AA103" si="67">+SUM(Y104:Y106)</f>
        <v>0</v>
      </c>
      <c r="Z103" s="1045">
        <f t="shared" si="67"/>
        <v>0</v>
      </c>
      <c r="AA103" s="1045">
        <f t="shared" si="67"/>
        <v>0</v>
      </c>
      <c r="AB103" s="1046"/>
      <c r="AC103" s="902">
        <f t="shared" si="54"/>
        <v>0</v>
      </c>
    </row>
    <row r="104" spans="1:50" s="903" customFormat="1" ht="43.5" customHeight="1">
      <c r="A104" s="919" t="s">
        <v>144</v>
      </c>
      <c r="B104" s="1038" t="s">
        <v>1098</v>
      </c>
      <c r="C104" s="1038" t="s">
        <v>857</v>
      </c>
      <c r="D104" s="1054">
        <v>7761983</v>
      </c>
      <c r="E104" s="1054"/>
      <c r="F104" s="928" t="s">
        <v>151</v>
      </c>
      <c r="G104" s="904"/>
      <c r="H104" s="904" t="s">
        <v>73</v>
      </c>
      <c r="I104" s="904" t="s">
        <v>1099</v>
      </c>
      <c r="J104" s="1055">
        <v>6128.04</v>
      </c>
      <c r="K104" s="1041"/>
      <c r="L104" s="1041"/>
      <c r="M104" s="1055">
        <v>6128.04</v>
      </c>
      <c r="N104" s="1055">
        <v>6128.04</v>
      </c>
      <c r="O104" s="1041"/>
      <c r="P104" s="1041"/>
      <c r="Q104" s="1055">
        <v>6128.04</v>
      </c>
      <c r="R104" s="1056">
        <v>5924</v>
      </c>
      <c r="S104" s="1041"/>
      <c r="T104" s="1041"/>
      <c r="U104" s="1056">
        <v>5924</v>
      </c>
      <c r="V104" s="923">
        <v>204</v>
      </c>
      <c r="W104" s="1041">
        <f>SUM(X104:AA104)</f>
        <v>204</v>
      </c>
      <c r="X104" s="1041">
        <v>204</v>
      </c>
      <c r="Y104" s="1041"/>
      <c r="Z104" s="1041"/>
      <c r="AA104" s="1041"/>
      <c r="AB104" s="904" t="s">
        <v>1272</v>
      </c>
      <c r="AC104" s="902">
        <f t="shared" si="54"/>
        <v>0</v>
      </c>
      <c r="AJ104" s="903" t="s">
        <v>1308</v>
      </c>
    </row>
    <row r="105" spans="1:50" s="903" customFormat="1" ht="43.5" customHeight="1">
      <c r="A105" s="919" t="s">
        <v>144</v>
      </c>
      <c r="B105" s="1038" t="s">
        <v>1100</v>
      </c>
      <c r="C105" s="1038" t="s">
        <v>857</v>
      </c>
      <c r="D105" s="904">
        <v>7777357</v>
      </c>
      <c r="E105" s="904"/>
      <c r="F105" s="904" t="s">
        <v>1101</v>
      </c>
      <c r="G105" s="904"/>
      <c r="H105" s="904" t="s">
        <v>73</v>
      </c>
      <c r="I105" s="904" t="s">
        <v>1102</v>
      </c>
      <c r="J105" s="1055">
        <v>1713</v>
      </c>
      <c r="K105" s="1041"/>
      <c r="L105" s="1041"/>
      <c r="M105" s="1055">
        <v>1713</v>
      </c>
      <c r="N105" s="1055">
        <v>1713</v>
      </c>
      <c r="O105" s="1041"/>
      <c r="P105" s="1041"/>
      <c r="Q105" s="1055">
        <v>1713</v>
      </c>
      <c r="R105" s="1056">
        <v>1586</v>
      </c>
      <c r="S105" s="1041"/>
      <c r="T105" s="1041"/>
      <c r="U105" s="1056">
        <v>1586</v>
      </c>
      <c r="V105" s="1041">
        <v>127</v>
      </c>
      <c r="W105" s="1041">
        <f t="shared" ref="W105:W106" si="68">SUM(X105:AA105)</f>
        <v>127</v>
      </c>
      <c r="X105" s="923">
        <v>127</v>
      </c>
      <c r="Y105" s="923"/>
      <c r="Z105" s="923"/>
      <c r="AA105" s="923"/>
      <c r="AB105" s="904" t="s">
        <v>1102</v>
      </c>
      <c r="AC105" s="902">
        <f t="shared" si="54"/>
        <v>0</v>
      </c>
      <c r="AJ105" s="903" t="s">
        <v>1308</v>
      </c>
    </row>
    <row r="106" spans="1:50" s="903" customFormat="1" ht="43.5" customHeight="1">
      <c r="A106" s="919" t="s">
        <v>144</v>
      </c>
      <c r="B106" s="1038" t="s">
        <v>1103</v>
      </c>
      <c r="C106" s="1038" t="s">
        <v>857</v>
      </c>
      <c r="D106" s="904">
        <v>7879417</v>
      </c>
      <c r="E106" s="904"/>
      <c r="F106" s="904" t="s">
        <v>1104</v>
      </c>
      <c r="G106" s="904"/>
      <c r="H106" s="904" t="s">
        <v>73</v>
      </c>
      <c r="I106" s="904" t="s">
        <v>1105</v>
      </c>
      <c r="J106" s="1055">
        <v>1613</v>
      </c>
      <c r="K106" s="1041"/>
      <c r="L106" s="1041"/>
      <c r="M106" s="1055">
        <v>1613</v>
      </c>
      <c r="N106" s="1055">
        <v>1613</v>
      </c>
      <c r="O106" s="1041"/>
      <c r="P106" s="1041"/>
      <c r="Q106" s="1055">
        <v>1613</v>
      </c>
      <c r="R106" s="1056">
        <v>1557</v>
      </c>
      <c r="S106" s="1041"/>
      <c r="T106" s="1041"/>
      <c r="U106" s="1056">
        <v>1557</v>
      </c>
      <c r="V106" s="1041">
        <v>56</v>
      </c>
      <c r="W106" s="1041">
        <f t="shared" si="68"/>
        <v>56</v>
      </c>
      <c r="X106" s="1057">
        <v>56</v>
      </c>
      <c r="Y106" s="1057"/>
      <c r="Z106" s="1057"/>
      <c r="AA106" s="1057"/>
      <c r="AB106" s="904" t="s">
        <v>1105</v>
      </c>
      <c r="AC106" s="902">
        <f t="shared" si="54"/>
        <v>0</v>
      </c>
      <c r="AJ106" s="903" t="s">
        <v>1308</v>
      </c>
    </row>
    <row r="107" spans="1:50" s="903" customFormat="1" ht="84.75" customHeight="1">
      <c r="A107" s="919" t="s">
        <v>144</v>
      </c>
      <c r="B107" s="1058" t="s">
        <v>1836</v>
      </c>
      <c r="C107" s="1038"/>
      <c r="D107" s="904"/>
      <c r="E107" s="904"/>
      <c r="F107" s="928" t="s">
        <v>151</v>
      </c>
      <c r="G107" s="904"/>
      <c r="H107" s="1059" t="s">
        <v>187</v>
      </c>
      <c r="I107" s="1060" t="s">
        <v>1837</v>
      </c>
      <c r="J107" s="1055">
        <v>3000</v>
      </c>
      <c r="K107" s="1041"/>
      <c r="L107" s="1041"/>
      <c r="M107" s="1055">
        <f>J107</f>
        <v>3000</v>
      </c>
      <c r="N107" s="1055">
        <f>Q107</f>
        <v>3000</v>
      </c>
      <c r="O107" s="1041"/>
      <c r="P107" s="1041"/>
      <c r="Q107" s="1055">
        <v>3000</v>
      </c>
      <c r="R107" s="1056">
        <f>U107</f>
        <v>2200</v>
      </c>
      <c r="S107" s="1041"/>
      <c r="T107" s="1041"/>
      <c r="U107" s="1056">
        <v>2200</v>
      </c>
      <c r="V107" s="1041">
        <v>800</v>
      </c>
      <c r="W107" s="1057">
        <f>V107</f>
        <v>800</v>
      </c>
      <c r="X107" s="1057">
        <f>W107</f>
        <v>800</v>
      </c>
      <c r="Y107" s="1057"/>
      <c r="Z107" s="1057"/>
      <c r="AA107" s="1057"/>
      <c r="AB107" s="904"/>
      <c r="AJ107" s="903" t="s">
        <v>1857</v>
      </c>
      <c r="AP107" s="925"/>
      <c r="AQ107" s="1061"/>
    </row>
    <row r="108" spans="1:50" s="911" customFormat="1" ht="49.5" customHeight="1">
      <c r="A108" s="1044" t="s">
        <v>467</v>
      </c>
      <c r="B108" s="913" t="s">
        <v>56</v>
      </c>
      <c r="C108" s="1038" t="s">
        <v>857</v>
      </c>
      <c r="D108" s="937"/>
      <c r="E108" s="937"/>
      <c r="F108" s="937"/>
      <c r="G108" s="937"/>
      <c r="H108" s="937"/>
      <c r="I108" s="937"/>
      <c r="J108" s="1045">
        <f>+SUM(J109:J113)</f>
        <v>12500</v>
      </c>
      <c r="K108" s="1045">
        <f t="shared" ref="K108:AA108" si="69">+SUM(K109:K113)</f>
        <v>0</v>
      </c>
      <c r="L108" s="1045">
        <f t="shared" si="69"/>
        <v>0</v>
      </c>
      <c r="M108" s="1045">
        <f t="shared" si="69"/>
        <v>12500</v>
      </c>
      <c r="N108" s="1045">
        <f t="shared" si="69"/>
        <v>10500</v>
      </c>
      <c r="O108" s="1045">
        <f t="shared" si="69"/>
        <v>0</v>
      </c>
      <c r="P108" s="1045">
        <f t="shared" si="69"/>
        <v>0</v>
      </c>
      <c r="Q108" s="1045">
        <f t="shared" si="69"/>
        <v>10500</v>
      </c>
      <c r="R108" s="1045">
        <f t="shared" si="69"/>
        <v>8700</v>
      </c>
      <c r="S108" s="1045">
        <f t="shared" si="69"/>
        <v>0</v>
      </c>
      <c r="T108" s="1045">
        <f t="shared" si="69"/>
        <v>0</v>
      </c>
      <c r="U108" s="1045">
        <f t="shared" si="69"/>
        <v>8700</v>
      </c>
      <c r="V108" s="1045">
        <f t="shared" si="69"/>
        <v>3800</v>
      </c>
      <c r="W108" s="1045">
        <f t="shared" si="69"/>
        <v>3800</v>
      </c>
      <c r="X108" s="1045">
        <f>+SUM(X109:X113)</f>
        <v>3800</v>
      </c>
      <c r="Y108" s="1045">
        <f t="shared" si="69"/>
        <v>0</v>
      </c>
      <c r="Z108" s="1045">
        <f t="shared" si="69"/>
        <v>0</v>
      </c>
      <c r="AA108" s="1045">
        <f t="shared" si="69"/>
        <v>0</v>
      </c>
      <c r="AB108" s="1046"/>
      <c r="AC108" s="902">
        <f t="shared" si="54"/>
        <v>0</v>
      </c>
    </row>
    <row r="109" spans="1:50" s="8" customFormat="1" ht="88.5" customHeight="1">
      <c r="A109" s="32" t="s">
        <v>144</v>
      </c>
      <c r="B109" s="15" t="s">
        <v>1838</v>
      </c>
      <c r="C109" s="1038" t="s">
        <v>857</v>
      </c>
      <c r="D109" s="904"/>
      <c r="E109" s="904"/>
      <c r="F109" s="313" t="s">
        <v>859</v>
      </c>
      <c r="G109" s="13"/>
      <c r="H109" s="347"/>
      <c r="I109" s="490" t="s">
        <v>1839</v>
      </c>
      <c r="J109" s="491">
        <v>4000</v>
      </c>
      <c r="K109" s="476"/>
      <c r="L109" s="476"/>
      <c r="M109" s="488">
        <f>J109</f>
        <v>4000</v>
      </c>
      <c r="N109" s="488">
        <v>2000</v>
      </c>
      <c r="O109" s="476"/>
      <c r="P109" s="476"/>
      <c r="Q109" s="488">
        <f>N109</f>
        <v>2000</v>
      </c>
      <c r="R109" s="489">
        <v>2000</v>
      </c>
      <c r="S109" s="476"/>
      <c r="T109" s="476"/>
      <c r="U109" s="489">
        <f>R109</f>
        <v>2000</v>
      </c>
      <c r="V109" s="476">
        <f>M109-R109</f>
        <v>2000</v>
      </c>
      <c r="W109" s="96">
        <f>X109</f>
        <v>2000</v>
      </c>
      <c r="X109" s="96">
        <f>V109</f>
        <v>2000</v>
      </c>
      <c r="Y109" s="96"/>
      <c r="Z109" s="96"/>
      <c r="AA109" s="96"/>
      <c r="AB109" s="13"/>
      <c r="AI109" s="903"/>
      <c r="AJ109" s="903" t="s">
        <v>1821</v>
      </c>
      <c r="AK109" s="903"/>
      <c r="AL109" s="903"/>
      <c r="AM109" s="903"/>
      <c r="AN109" s="903"/>
      <c r="AO109" s="903"/>
      <c r="AP109" s="925"/>
      <c r="AQ109" s="1061"/>
      <c r="AR109" s="903"/>
      <c r="AS109" s="903"/>
      <c r="AT109" s="903"/>
      <c r="AU109" s="903"/>
      <c r="AV109" s="903"/>
      <c r="AW109" s="903"/>
      <c r="AX109" s="903"/>
    </row>
    <row r="110" spans="1:50" s="8" customFormat="1" ht="43.5" customHeight="1">
      <c r="A110" s="32" t="s">
        <v>144</v>
      </c>
      <c r="B110" s="15" t="s">
        <v>1840</v>
      </c>
      <c r="C110" s="1038" t="s">
        <v>857</v>
      </c>
      <c r="D110" s="904"/>
      <c r="E110" s="904"/>
      <c r="F110" s="13" t="s">
        <v>1104</v>
      </c>
      <c r="G110" s="13"/>
      <c r="H110" s="347"/>
      <c r="I110" s="490" t="s">
        <v>1841</v>
      </c>
      <c r="J110" s="491">
        <v>2400</v>
      </c>
      <c r="K110" s="476"/>
      <c r="L110" s="476"/>
      <c r="M110" s="488">
        <f t="shared" ref="M110:M113" si="70">J110</f>
        <v>2400</v>
      </c>
      <c r="N110" s="488">
        <v>2400</v>
      </c>
      <c r="O110" s="476"/>
      <c r="P110" s="476"/>
      <c r="Q110" s="488">
        <f t="shared" ref="Q110:Q113" si="71">N110</f>
        <v>2400</v>
      </c>
      <c r="R110" s="489">
        <v>2000</v>
      </c>
      <c r="S110" s="476"/>
      <c r="T110" s="476"/>
      <c r="U110" s="489">
        <f t="shared" ref="U110:U113" si="72">R110</f>
        <v>2000</v>
      </c>
      <c r="V110" s="476">
        <f t="shared" ref="V110:V113" si="73">M110-R110</f>
        <v>400</v>
      </c>
      <c r="W110" s="96">
        <f t="shared" ref="W110:W113" si="74">X110</f>
        <v>400</v>
      </c>
      <c r="X110" s="96">
        <f t="shared" ref="X110:X113" si="75">V110</f>
        <v>400</v>
      </c>
      <c r="Y110" s="96"/>
      <c r="Z110" s="96"/>
      <c r="AA110" s="96"/>
      <c r="AB110" s="13"/>
      <c r="AI110" s="903"/>
      <c r="AJ110" s="903" t="s">
        <v>1821</v>
      </c>
      <c r="AK110" s="903"/>
      <c r="AL110" s="903"/>
      <c r="AM110" s="903"/>
      <c r="AN110" s="903"/>
      <c r="AO110" s="903"/>
      <c r="AP110" s="925"/>
      <c r="AQ110" s="1061"/>
      <c r="AR110" s="903"/>
      <c r="AS110" s="903"/>
      <c r="AT110" s="903"/>
      <c r="AU110" s="903"/>
      <c r="AV110" s="903"/>
      <c r="AW110" s="903"/>
      <c r="AX110" s="903"/>
    </row>
    <row r="111" spans="1:50" s="8" customFormat="1" ht="43.5" customHeight="1">
      <c r="A111" s="32" t="s">
        <v>144</v>
      </c>
      <c r="B111" s="15" t="s">
        <v>1842</v>
      </c>
      <c r="C111" s="1038" t="s">
        <v>857</v>
      </c>
      <c r="D111" s="904"/>
      <c r="E111" s="904"/>
      <c r="F111" s="13" t="s">
        <v>1104</v>
      </c>
      <c r="G111" s="13"/>
      <c r="H111" s="347"/>
      <c r="I111" s="490" t="s">
        <v>1843</v>
      </c>
      <c r="J111" s="491">
        <v>2000</v>
      </c>
      <c r="K111" s="476"/>
      <c r="L111" s="476"/>
      <c r="M111" s="488">
        <f t="shared" si="70"/>
        <v>2000</v>
      </c>
      <c r="N111" s="488">
        <v>2000</v>
      </c>
      <c r="O111" s="476"/>
      <c r="P111" s="476"/>
      <c r="Q111" s="488">
        <f t="shared" si="71"/>
        <v>2000</v>
      </c>
      <c r="R111" s="489">
        <v>1500</v>
      </c>
      <c r="S111" s="476"/>
      <c r="T111" s="476"/>
      <c r="U111" s="489">
        <f t="shared" si="72"/>
        <v>1500</v>
      </c>
      <c r="V111" s="476">
        <f t="shared" si="73"/>
        <v>500</v>
      </c>
      <c r="W111" s="96">
        <f t="shared" si="74"/>
        <v>500</v>
      </c>
      <c r="X111" s="96">
        <f t="shared" si="75"/>
        <v>500</v>
      </c>
      <c r="Y111" s="96"/>
      <c r="Z111" s="96"/>
      <c r="AA111" s="96"/>
      <c r="AB111" s="13"/>
      <c r="AI111" s="903"/>
      <c r="AJ111" s="903" t="s">
        <v>1821</v>
      </c>
      <c r="AK111" s="903"/>
      <c r="AL111" s="903"/>
      <c r="AM111" s="903"/>
      <c r="AN111" s="903"/>
      <c r="AO111" s="903"/>
      <c r="AP111" s="925"/>
      <c r="AQ111" s="1061"/>
      <c r="AR111" s="903"/>
      <c r="AS111" s="903"/>
      <c r="AT111" s="903"/>
      <c r="AU111" s="903"/>
      <c r="AV111" s="903"/>
      <c r="AW111" s="903"/>
      <c r="AX111" s="903"/>
    </row>
    <row r="112" spans="1:50" s="8" customFormat="1" ht="43.5" customHeight="1">
      <c r="A112" s="32" t="s">
        <v>144</v>
      </c>
      <c r="B112" s="15" t="s">
        <v>1844</v>
      </c>
      <c r="C112" s="1038" t="s">
        <v>857</v>
      </c>
      <c r="D112" s="904"/>
      <c r="E112" s="904"/>
      <c r="F112" s="313" t="s">
        <v>859</v>
      </c>
      <c r="G112" s="13"/>
      <c r="H112" s="347"/>
      <c r="I112" s="490" t="s">
        <v>1845</v>
      </c>
      <c r="J112" s="491">
        <v>2600</v>
      </c>
      <c r="K112" s="476"/>
      <c r="L112" s="476"/>
      <c r="M112" s="488">
        <f t="shared" si="70"/>
        <v>2600</v>
      </c>
      <c r="N112" s="488">
        <v>2600</v>
      </c>
      <c r="O112" s="476"/>
      <c r="P112" s="476"/>
      <c r="Q112" s="488">
        <f t="shared" si="71"/>
        <v>2600</v>
      </c>
      <c r="R112" s="489">
        <v>2000</v>
      </c>
      <c r="S112" s="476"/>
      <c r="T112" s="476"/>
      <c r="U112" s="489">
        <f t="shared" si="72"/>
        <v>2000</v>
      </c>
      <c r="V112" s="476">
        <f t="shared" si="73"/>
        <v>600</v>
      </c>
      <c r="W112" s="96">
        <f t="shared" si="74"/>
        <v>600</v>
      </c>
      <c r="X112" s="96">
        <f t="shared" si="75"/>
        <v>600</v>
      </c>
      <c r="Y112" s="96"/>
      <c r="Z112" s="96"/>
      <c r="AA112" s="96"/>
      <c r="AB112" s="13"/>
      <c r="AI112" s="903"/>
      <c r="AJ112" s="903" t="s">
        <v>1821</v>
      </c>
      <c r="AK112" s="903"/>
      <c r="AL112" s="903"/>
      <c r="AM112" s="903"/>
      <c r="AN112" s="903"/>
      <c r="AO112" s="903"/>
      <c r="AP112" s="925"/>
      <c r="AQ112" s="1061"/>
      <c r="AR112" s="903"/>
      <c r="AS112" s="903"/>
      <c r="AT112" s="903"/>
      <c r="AU112" s="903"/>
      <c r="AV112" s="903"/>
      <c r="AW112" s="903"/>
      <c r="AX112" s="903"/>
    </row>
    <row r="113" spans="1:50" s="8" customFormat="1" ht="75">
      <c r="A113" s="32" t="s">
        <v>144</v>
      </c>
      <c r="B113" s="15" t="s">
        <v>1846</v>
      </c>
      <c r="C113" s="1038" t="s">
        <v>857</v>
      </c>
      <c r="D113" s="904"/>
      <c r="E113" s="904"/>
      <c r="F113" s="313" t="s">
        <v>859</v>
      </c>
      <c r="G113" s="13"/>
      <c r="H113" s="347"/>
      <c r="I113" s="490" t="s">
        <v>1847</v>
      </c>
      <c r="J113" s="491">
        <v>1500</v>
      </c>
      <c r="K113" s="476"/>
      <c r="L113" s="476"/>
      <c r="M113" s="488">
        <f t="shared" si="70"/>
        <v>1500</v>
      </c>
      <c r="N113" s="488">
        <v>1500</v>
      </c>
      <c r="O113" s="476"/>
      <c r="P113" s="476"/>
      <c r="Q113" s="488">
        <f t="shared" si="71"/>
        <v>1500</v>
      </c>
      <c r="R113" s="489">
        <v>1200</v>
      </c>
      <c r="S113" s="476"/>
      <c r="T113" s="476"/>
      <c r="U113" s="489">
        <f t="shared" si="72"/>
        <v>1200</v>
      </c>
      <c r="V113" s="476">
        <f t="shared" si="73"/>
        <v>300</v>
      </c>
      <c r="W113" s="96">
        <f t="shared" si="74"/>
        <v>300</v>
      </c>
      <c r="X113" s="96">
        <f t="shared" si="75"/>
        <v>300</v>
      </c>
      <c r="Y113" s="96"/>
      <c r="Z113" s="96"/>
      <c r="AA113" s="96"/>
      <c r="AB113" s="13"/>
      <c r="AI113" s="903"/>
      <c r="AJ113" s="903" t="s">
        <v>1821</v>
      </c>
      <c r="AK113" s="903"/>
      <c r="AL113" s="903"/>
      <c r="AM113" s="903"/>
      <c r="AN113" s="903"/>
      <c r="AO113" s="903"/>
      <c r="AP113" s="925"/>
      <c r="AQ113" s="1061"/>
      <c r="AR113" s="903"/>
      <c r="AS113" s="903"/>
      <c r="AT113" s="903"/>
      <c r="AU113" s="903"/>
      <c r="AV113" s="903"/>
      <c r="AW113" s="903"/>
      <c r="AX113" s="903"/>
    </row>
    <row r="114" spans="1:50" s="911" customFormat="1" ht="28.5" customHeight="1">
      <c r="A114" s="1044" t="s">
        <v>1306</v>
      </c>
      <c r="B114" s="1035" t="s">
        <v>1314</v>
      </c>
      <c r="C114" s="1038" t="s">
        <v>857</v>
      </c>
      <c r="D114" s="937"/>
      <c r="E114" s="937"/>
      <c r="F114" s="937"/>
      <c r="G114" s="937"/>
      <c r="H114" s="937"/>
      <c r="I114" s="937"/>
      <c r="J114" s="1045"/>
      <c r="K114" s="1045"/>
      <c r="L114" s="1045"/>
      <c r="M114" s="1045"/>
      <c r="N114" s="1045"/>
      <c r="O114" s="1045"/>
      <c r="P114" s="1045"/>
      <c r="Q114" s="1045"/>
      <c r="R114" s="1045"/>
      <c r="S114" s="1045"/>
      <c r="T114" s="1045"/>
      <c r="U114" s="1045"/>
      <c r="V114" s="1045"/>
      <c r="W114" s="1045"/>
      <c r="X114" s="1045"/>
      <c r="Y114" s="1045"/>
      <c r="Z114" s="1045"/>
      <c r="AA114" s="1045"/>
      <c r="AB114" s="1046"/>
      <c r="AC114" s="902">
        <f t="shared" si="54"/>
        <v>0</v>
      </c>
    </row>
    <row r="115" spans="1:50" s="964" customFormat="1" ht="36.75" customHeight="1">
      <c r="A115" s="1051">
        <v>11</v>
      </c>
      <c r="B115" s="896" t="s">
        <v>694</v>
      </c>
      <c r="C115" s="1038" t="s">
        <v>694</v>
      </c>
      <c r="D115" s="897"/>
      <c r="E115" s="897"/>
      <c r="F115" s="897"/>
      <c r="G115" s="897"/>
      <c r="H115" s="1062"/>
      <c r="I115" s="897"/>
      <c r="J115" s="1063">
        <f t="shared" ref="J115:AA115" si="76">J116</f>
        <v>62000</v>
      </c>
      <c r="K115" s="1063">
        <f t="shared" si="76"/>
        <v>0</v>
      </c>
      <c r="L115" s="1063">
        <f t="shared" si="76"/>
        <v>0</v>
      </c>
      <c r="M115" s="1063">
        <f t="shared" si="76"/>
        <v>62000</v>
      </c>
      <c r="N115" s="1063">
        <f t="shared" si="76"/>
        <v>31902</v>
      </c>
      <c r="O115" s="1063">
        <f t="shared" si="76"/>
        <v>0</v>
      </c>
      <c r="P115" s="1063">
        <f t="shared" si="76"/>
        <v>0</v>
      </c>
      <c r="Q115" s="1063">
        <f t="shared" si="76"/>
        <v>31902</v>
      </c>
      <c r="R115" s="1063">
        <f t="shared" si="76"/>
        <v>31902</v>
      </c>
      <c r="S115" s="1063">
        <f t="shared" si="76"/>
        <v>0</v>
      </c>
      <c r="T115" s="1063">
        <f t="shared" si="76"/>
        <v>0</v>
      </c>
      <c r="U115" s="1063">
        <f t="shared" si="76"/>
        <v>31902</v>
      </c>
      <c r="V115" s="1063">
        <f t="shared" si="76"/>
        <v>30098</v>
      </c>
      <c r="W115" s="1063">
        <f t="shared" si="76"/>
        <v>30098</v>
      </c>
      <c r="X115" s="1063">
        <f t="shared" si="76"/>
        <v>0</v>
      </c>
      <c r="Y115" s="1063">
        <f t="shared" si="76"/>
        <v>0</v>
      </c>
      <c r="Z115" s="1063">
        <f t="shared" si="76"/>
        <v>30098</v>
      </c>
      <c r="AA115" s="1063">
        <f t="shared" si="76"/>
        <v>0</v>
      </c>
      <c r="AB115" s="1064"/>
      <c r="AC115" s="902">
        <f t="shared" si="54"/>
        <v>0</v>
      </c>
    </row>
    <row r="116" spans="1:50" s="951" customFormat="1" ht="36.75" customHeight="1">
      <c r="A116" s="1052" t="s">
        <v>1321</v>
      </c>
      <c r="B116" s="906" t="s">
        <v>38</v>
      </c>
      <c r="C116" s="1038" t="s">
        <v>694</v>
      </c>
      <c r="D116" s="948"/>
      <c r="E116" s="948"/>
      <c r="F116" s="948"/>
      <c r="G116" s="948"/>
      <c r="H116" s="1065"/>
      <c r="I116" s="948"/>
      <c r="J116" s="1066">
        <f t="shared" ref="J116:AA116" si="77">+J117+J118+J122</f>
        <v>62000</v>
      </c>
      <c r="K116" s="1066">
        <f t="shared" si="77"/>
        <v>0</v>
      </c>
      <c r="L116" s="1066">
        <f t="shared" si="77"/>
        <v>0</v>
      </c>
      <c r="M116" s="1066">
        <f t="shared" si="77"/>
        <v>62000</v>
      </c>
      <c r="N116" s="1066">
        <f t="shared" si="77"/>
        <v>31902</v>
      </c>
      <c r="O116" s="1066">
        <f t="shared" si="77"/>
        <v>0</v>
      </c>
      <c r="P116" s="1066">
        <f t="shared" si="77"/>
        <v>0</v>
      </c>
      <c r="Q116" s="1066">
        <f t="shared" si="77"/>
        <v>31902</v>
      </c>
      <c r="R116" s="1066">
        <f t="shared" si="77"/>
        <v>31902</v>
      </c>
      <c r="S116" s="1066">
        <f t="shared" si="77"/>
        <v>0</v>
      </c>
      <c r="T116" s="1066">
        <f t="shared" si="77"/>
        <v>0</v>
      </c>
      <c r="U116" s="1066">
        <f t="shared" si="77"/>
        <v>31902</v>
      </c>
      <c r="V116" s="1066">
        <f t="shared" si="77"/>
        <v>30098</v>
      </c>
      <c r="W116" s="1066">
        <f t="shared" si="77"/>
        <v>30098</v>
      </c>
      <c r="X116" s="1066">
        <f t="shared" si="77"/>
        <v>0</v>
      </c>
      <c r="Y116" s="1066">
        <f t="shared" si="77"/>
        <v>0</v>
      </c>
      <c r="Z116" s="1066">
        <f t="shared" si="77"/>
        <v>30098</v>
      </c>
      <c r="AA116" s="1066">
        <f t="shared" si="77"/>
        <v>0</v>
      </c>
      <c r="AB116" s="1067"/>
      <c r="AC116" s="902">
        <f t="shared" si="54"/>
        <v>0</v>
      </c>
    </row>
    <row r="117" spans="1:50" s="951" customFormat="1" ht="31.5" customHeight="1">
      <c r="A117" s="1044" t="s">
        <v>39</v>
      </c>
      <c r="B117" s="913" t="s">
        <v>1254</v>
      </c>
      <c r="C117" s="1038" t="s">
        <v>694</v>
      </c>
      <c r="D117" s="948"/>
      <c r="E117" s="948"/>
      <c r="F117" s="948"/>
      <c r="G117" s="948"/>
      <c r="H117" s="948"/>
      <c r="I117" s="948"/>
      <c r="J117" s="1049"/>
      <c r="K117" s="1049"/>
      <c r="L117" s="1049"/>
      <c r="M117" s="1049"/>
      <c r="N117" s="1049"/>
      <c r="O117" s="1049"/>
      <c r="P117" s="1049"/>
      <c r="Q117" s="1049"/>
      <c r="R117" s="1049"/>
      <c r="S117" s="1049"/>
      <c r="T117" s="1049"/>
      <c r="U117" s="1049"/>
      <c r="V117" s="1049"/>
      <c r="W117" s="1049"/>
      <c r="X117" s="1049"/>
      <c r="Y117" s="1049"/>
      <c r="Z117" s="1049"/>
      <c r="AA117" s="1049"/>
      <c r="AB117" s="1050"/>
      <c r="AC117" s="902">
        <f t="shared" si="54"/>
        <v>0</v>
      </c>
    </row>
    <row r="118" spans="1:50" s="911" customFormat="1" ht="48.75" customHeight="1">
      <c r="A118" s="1044" t="s">
        <v>467</v>
      </c>
      <c r="B118" s="913" t="s">
        <v>56</v>
      </c>
      <c r="C118" s="1038" t="s">
        <v>694</v>
      </c>
      <c r="D118" s="937"/>
      <c r="E118" s="937"/>
      <c r="F118" s="937"/>
      <c r="G118" s="937"/>
      <c r="H118" s="1068"/>
      <c r="I118" s="937"/>
      <c r="J118" s="1069">
        <f t="shared" ref="J118:AA118" si="78">SUM(J119:J121)</f>
        <v>62000</v>
      </c>
      <c r="K118" s="1069">
        <f t="shared" si="78"/>
        <v>0</v>
      </c>
      <c r="L118" s="1069">
        <f t="shared" si="78"/>
        <v>0</v>
      </c>
      <c r="M118" s="1069">
        <f t="shared" si="78"/>
        <v>62000</v>
      </c>
      <c r="N118" s="1069">
        <f t="shared" si="78"/>
        <v>31902</v>
      </c>
      <c r="O118" s="1069">
        <f t="shared" si="78"/>
        <v>0</v>
      </c>
      <c r="P118" s="1069">
        <f t="shared" si="78"/>
        <v>0</v>
      </c>
      <c r="Q118" s="1069">
        <f t="shared" si="78"/>
        <v>31902</v>
      </c>
      <c r="R118" s="1069">
        <f t="shared" si="78"/>
        <v>31902</v>
      </c>
      <c r="S118" s="1069">
        <f t="shared" si="78"/>
        <v>0</v>
      </c>
      <c r="T118" s="1069">
        <f t="shared" si="78"/>
        <v>0</v>
      </c>
      <c r="U118" s="1069">
        <f t="shared" si="78"/>
        <v>31902</v>
      </c>
      <c r="V118" s="1069">
        <f t="shared" si="78"/>
        <v>30098</v>
      </c>
      <c r="W118" s="1069">
        <f>SUM(W119:W121)</f>
        <v>30098</v>
      </c>
      <c r="X118" s="1069">
        <f t="shared" si="78"/>
        <v>0</v>
      </c>
      <c r="Y118" s="1069">
        <f t="shared" si="78"/>
        <v>0</v>
      </c>
      <c r="Z118" s="1069">
        <f t="shared" si="78"/>
        <v>30098</v>
      </c>
      <c r="AA118" s="1069">
        <f t="shared" si="78"/>
        <v>0</v>
      </c>
      <c r="AB118" s="1070"/>
      <c r="AC118" s="902">
        <f t="shared" si="54"/>
        <v>0</v>
      </c>
    </row>
    <row r="119" spans="1:50" s="8" customFormat="1" ht="75.75" customHeight="1">
      <c r="A119" s="32" t="s">
        <v>144</v>
      </c>
      <c r="B119" s="15" t="s">
        <v>1106</v>
      </c>
      <c r="C119" s="1038" t="s">
        <v>694</v>
      </c>
      <c r="D119" s="904">
        <v>8109164</v>
      </c>
      <c r="E119" s="904"/>
      <c r="F119" s="13" t="s">
        <v>1107</v>
      </c>
      <c r="G119" s="13" t="s">
        <v>1108</v>
      </c>
      <c r="H119" s="13" t="s">
        <v>49</v>
      </c>
      <c r="I119" s="13" t="s">
        <v>1109</v>
      </c>
      <c r="J119" s="488">
        <v>39000</v>
      </c>
      <c r="K119" s="476"/>
      <c r="L119" s="476"/>
      <c r="M119" s="488">
        <v>39000</v>
      </c>
      <c r="N119" s="488">
        <v>16000</v>
      </c>
      <c r="O119" s="476"/>
      <c r="P119" s="476"/>
      <c r="Q119" s="488">
        <v>16000</v>
      </c>
      <c r="R119" s="489">
        <v>16000</v>
      </c>
      <c r="S119" s="476"/>
      <c r="T119" s="476"/>
      <c r="U119" s="489">
        <v>16000</v>
      </c>
      <c r="V119" s="407">
        <v>23000</v>
      </c>
      <c r="W119" s="96">
        <f>SUM(X119:AA119)</f>
        <v>23000</v>
      </c>
      <c r="X119" s="96"/>
      <c r="Y119" s="96"/>
      <c r="Z119" s="96">
        <v>23000</v>
      </c>
      <c r="AA119" s="96"/>
      <c r="AB119" s="478" t="s">
        <v>1622</v>
      </c>
      <c r="AC119" s="380">
        <f t="shared" si="54"/>
        <v>0</v>
      </c>
      <c r="AI119" s="903"/>
      <c r="AJ119" s="925" t="s">
        <v>685</v>
      </c>
      <c r="AK119" s="903"/>
      <c r="AL119" s="903"/>
      <c r="AM119" s="903"/>
      <c r="AN119" s="903"/>
      <c r="AO119" s="903"/>
      <c r="AP119" s="903"/>
      <c r="AQ119" s="903"/>
      <c r="AR119" s="903"/>
      <c r="AS119" s="903"/>
      <c r="AT119" s="903"/>
      <c r="AU119" s="903"/>
      <c r="AV119" s="903"/>
      <c r="AW119" s="903"/>
      <c r="AX119" s="903"/>
    </row>
    <row r="120" spans="1:50" s="8" customFormat="1" ht="71.25" customHeight="1">
      <c r="A120" s="32" t="s">
        <v>144</v>
      </c>
      <c r="B120" s="15" t="s">
        <v>1110</v>
      </c>
      <c r="C120" s="1038" t="s">
        <v>694</v>
      </c>
      <c r="D120" s="904">
        <v>8136738</v>
      </c>
      <c r="E120" s="904"/>
      <c r="F120" s="13" t="s">
        <v>887</v>
      </c>
      <c r="G120" s="13" t="s">
        <v>1111</v>
      </c>
      <c r="H120" s="13" t="s">
        <v>207</v>
      </c>
      <c r="I120" s="13" t="s">
        <v>1112</v>
      </c>
      <c r="J120" s="488">
        <v>11500</v>
      </c>
      <c r="K120" s="476"/>
      <c r="L120" s="476"/>
      <c r="M120" s="488">
        <v>11500</v>
      </c>
      <c r="N120" s="488">
        <v>8000</v>
      </c>
      <c r="O120" s="476"/>
      <c r="P120" s="476"/>
      <c r="Q120" s="488">
        <v>8000</v>
      </c>
      <c r="R120" s="489">
        <v>8000</v>
      </c>
      <c r="S120" s="476"/>
      <c r="T120" s="476"/>
      <c r="U120" s="489">
        <v>8000</v>
      </c>
      <c r="V120" s="407">
        <v>3500</v>
      </c>
      <c r="W120" s="96">
        <f t="shared" ref="W120:W121" si="79">SUM(X120:AA120)</f>
        <v>3500</v>
      </c>
      <c r="X120" s="96"/>
      <c r="Y120" s="96"/>
      <c r="Z120" s="96">
        <v>3500</v>
      </c>
      <c r="AA120" s="96"/>
      <c r="AB120" s="478" t="s">
        <v>1622</v>
      </c>
      <c r="AC120" s="380">
        <f t="shared" si="54"/>
        <v>0</v>
      </c>
      <c r="AI120" s="903"/>
      <c r="AJ120" s="925" t="s">
        <v>685</v>
      </c>
      <c r="AK120" s="903"/>
      <c r="AL120" s="903"/>
      <c r="AM120" s="903"/>
      <c r="AN120" s="903"/>
      <c r="AO120" s="903"/>
      <c r="AP120" s="903"/>
      <c r="AQ120" s="903"/>
      <c r="AR120" s="903"/>
      <c r="AS120" s="903"/>
      <c r="AT120" s="903"/>
      <c r="AU120" s="903"/>
      <c r="AV120" s="903"/>
      <c r="AW120" s="903"/>
      <c r="AX120" s="903"/>
    </row>
    <row r="121" spans="1:50" s="8" customFormat="1" ht="78.75" customHeight="1">
      <c r="A121" s="32" t="s">
        <v>144</v>
      </c>
      <c r="B121" s="15" t="s">
        <v>1113</v>
      </c>
      <c r="C121" s="1038" t="s">
        <v>694</v>
      </c>
      <c r="D121" s="904">
        <v>8144800</v>
      </c>
      <c r="E121" s="904"/>
      <c r="F121" s="13" t="s">
        <v>887</v>
      </c>
      <c r="G121" s="13" t="s">
        <v>1114</v>
      </c>
      <c r="H121" s="13" t="s">
        <v>207</v>
      </c>
      <c r="I121" s="13" t="s">
        <v>1115</v>
      </c>
      <c r="J121" s="488">
        <v>11500</v>
      </c>
      <c r="K121" s="476"/>
      <c r="L121" s="476"/>
      <c r="M121" s="488">
        <v>11500</v>
      </c>
      <c r="N121" s="488">
        <v>7902</v>
      </c>
      <c r="O121" s="476"/>
      <c r="P121" s="476"/>
      <c r="Q121" s="488">
        <v>7902</v>
      </c>
      <c r="R121" s="489">
        <v>7902</v>
      </c>
      <c r="S121" s="476"/>
      <c r="T121" s="476"/>
      <c r="U121" s="489">
        <v>7902</v>
      </c>
      <c r="V121" s="407">
        <v>3598</v>
      </c>
      <c r="W121" s="96">
        <f t="shared" si="79"/>
        <v>3598</v>
      </c>
      <c r="X121" s="96"/>
      <c r="Y121" s="96"/>
      <c r="Z121" s="96">
        <v>3598</v>
      </c>
      <c r="AA121" s="96"/>
      <c r="AB121" s="478" t="s">
        <v>1622</v>
      </c>
      <c r="AC121" s="380">
        <f t="shared" si="54"/>
        <v>0</v>
      </c>
      <c r="AI121" s="903"/>
      <c r="AJ121" s="925" t="s">
        <v>685</v>
      </c>
      <c r="AK121" s="903"/>
      <c r="AL121" s="903"/>
      <c r="AM121" s="903"/>
      <c r="AN121" s="903"/>
      <c r="AO121" s="903"/>
      <c r="AP121" s="903"/>
      <c r="AQ121" s="903"/>
      <c r="AR121" s="903"/>
      <c r="AS121" s="903"/>
      <c r="AT121" s="903"/>
      <c r="AU121" s="903"/>
      <c r="AV121" s="903"/>
      <c r="AW121" s="903"/>
      <c r="AX121" s="903"/>
    </row>
    <row r="122" spans="1:50" s="911" customFormat="1" ht="28.5" customHeight="1">
      <c r="A122" s="1044" t="s">
        <v>1306</v>
      </c>
      <c r="B122" s="1035" t="s">
        <v>1314</v>
      </c>
      <c r="C122" s="1038" t="s">
        <v>694</v>
      </c>
      <c r="D122" s="937"/>
      <c r="E122" s="937"/>
      <c r="F122" s="937"/>
      <c r="G122" s="937"/>
      <c r="H122" s="937"/>
      <c r="I122" s="937"/>
      <c r="J122" s="1045"/>
      <c r="K122" s="1045"/>
      <c r="L122" s="1045"/>
      <c r="M122" s="1045"/>
      <c r="N122" s="1045"/>
      <c r="O122" s="1045"/>
      <c r="P122" s="1045"/>
      <c r="Q122" s="1045"/>
      <c r="R122" s="1045"/>
      <c r="S122" s="1045"/>
      <c r="T122" s="1045"/>
      <c r="U122" s="1045"/>
      <c r="V122" s="1045"/>
      <c r="W122" s="1045"/>
      <c r="X122" s="1045"/>
      <c r="Y122" s="1045"/>
      <c r="Z122" s="1045"/>
      <c r="AA122" s="1045"/>
      <c r="AB122" s="1046"/>
      <c r="AC122" s="902">
        <f t="shared" si="54"/>
        <v>0</v>
      </c>
    </row>
    <row r="123" spans="1:50" s="964" customFormat="1" ht="36.75" customHeight="1">
      <c r="A123" s="1051">
        <v>12</v>
      </c>
      <c r="B123" s="896" t="s">
        <v>696</v>
      </c>
      <c r="C123" s="1038" t="s">
        <v>696</v>
      </c>
      <c r="D123" s="897"/>
      <c r="E123" s="897"/>
      <c r="F123" s="897"/>
      <c r="G123" s="897"/>
      <c r="H123" s="1062"/>
      <c r="I123" s="897"/>
      <c r="J123" s="1063">
        <f t="shared" ref="J123:AA123" si="80">+J124</f>
        <v>18129</v>
      </c>
      <c r="K123" s="1063">
        <f t="shared" si="80"/>
        <v>0</v>
      </c>
      <c r="L123" s="1063">
        <f t="shared" si="80"/>
        <v>0</v>
      </c>
      <c r="M123" s="1063">
        <f t="shared" si="80"/>
        <v>18129</v>
      </c>
      <c r="N123" s="1063">
        <f t="shared" si="80"/>
        <v>13004</v>
      </c>
      <c r="O123" s="1063">
        <f t="shared" si="80"/>
        <v>0</v>
      </c>
      <c r="P123" s="1063">
        <f t="shared" si="80"/>
        <v>0</v>
      </c>
      <c r="Q123" s="1063">
        <f t="shared" si="80"/>
        <v>13004</v>
      </c>
      <c r="R123" s="1063">
        <f t="shared" si="80"/>
        <v>13004</v>
      </c>
      <c r="S123" s="1063">
        <f t="shared" si="80"/>
        <v>0</v>
      </c>
      <c r="T123" s="1063">
        <f t="shared" si="80"/>
        <v>0</v>
      </c>
      <c r="U123" s="1063">
        <f t="shared" si="80"/>
        <v>13004</v>
      </c>
      <c r="V123" s="1063">
        <f t="shared" si="80"/>
        <v>5125</v>
      </c>
      <c r="W123" s="1063">
        <f t="shared" si="80"/>
        <v>5125</v>
      </c>
      <c r="X123" s="1063">
        <f t="shared" si="80"/>
        <v>0</v>
      </c>
      <c r="Y123" s="1063">
        <f t="shared" si="80"/>
        <v>0</v>
      </c>
      <c r="Z123" s="1063">
        <f t="shared" si="80"/>
        <v>5125</v>
      </c>
      <c r="AA123" s="1063">
        <f t="shared" si="80"/>
        <v>0</v>
      </c>
      <c r="AB123" s="1064"/>
      <c r="AC123" s="902">
        <f t="shared" si="54"/>
        <v>0</v>
      </c>
    </row>
    <row r="124" spans="1:50" s="951" customFormat="1" ht="34.5" customHeight="1">
      <c r="A124" s="1052" t="s">
        <v>1322</v>
      </c>
      <c r="B124" s="906" t="s">
        <v>38</v>
      </c>
      <c r="C124" s="1038" t="s">
        <v>696</v>
      </c>
      <c r="D124" s="948"/>
      <c r="E124" s="948"/>
      <c r="F124" s="948"/>
      <c r="G124" s="948"/>
      <c r="H124" s="1065"/>
      <c r="I124" s="948"/>
      <c r="J124" s="1066">
        <f t="shared" ref="J124:AA124" si="81">J126+J125+J129</f>
        <v>18129</v>
      </c>
      <c r="K124" s="1066">
        <f t="shared" si="81"/>
        <v>0</v>
      </c>
      <c r="L124" s="1066">
        <f t="shared" si="81"/>
        <v>0</v>
      </c>
      <c r="M124" s="1066">
        <f t="shared" si="81"/>
        <v>18129</v>
      </c>
      <c r="N124" s="1066">
        <f t="shared" si="81"/>
        <v>13004</v>
      </c>
      <c r="O124" s="1066">
        <f t="shared" si="81"/>
        <v>0</v>
      </c>
      <c r="P124" s="1066">
        <f t="shared" si="81"/>
        <v>0</v>
      </c>
      <c r="Q124" s="1066">
        <f t="shared" si="81"/>
        <v>13004</v>
      </c>
      <c r="R124" s="1066">
        <f t="shared" si="81"/>
        <v>13004</v>
      </c>
      <c r="S124" s="1066">
        <f t="shared" si="81"/>
        <v>0</v>
      </c>
      <c r="T124" s="1066">
        <f t="shared" si="81"/>
        <v>0</v>
      </c>
      <c r="U124" s="1066">
        <f t="shared" si="81"/>
        <v>13004</v>
      </c>
      <c r="V124" s="1066">
        <f t="shared" si="81"/>
        <v>5125</v>
      </c>
      <c r="W124" s="1066">
        <f t="shared" si="81"/>
        <v>5125</v>
      </c>
      <c r="X124" s="1066">
        <f t="shared" si="81"/>
        <v>0</v>
      </c>
      <c r="Y124" s="1066">
        <f t="shared" si="81"/>
        <v>0</v>
      </c>
      <c r="Z124" s="1066">
        <f t="shared" si="81"/>
        <v>5125</v>
      </c>
      <c r="AA124" s="1066">
        <f t="shared" si="81"/>
        <v>0</v>
      </c>
      <c r="AB124" s="1067"/>
      <c r="AC124" s="902">
        <f t="shared" si="54"/>
        <v>0</v>
      </c>
    </row>
    <row r="125" spans="1:50" s="951" customFormat="1" ht="31.5" customHeight="1">
      <c r="A125" s="1044" t="s">
        <v>39</v>
      </c>
      <c r="B125" s="913" t="s">
        <v>1254</v>
      </c>
      <c r="C125" s="1038" t="s">
        <v>696</v>
      </c>
      <c r="D125" s="948"/>
      <c r="E125" s="948"/>
      <c r="F125" s="948"/>
      <c r="G125" s="948"/>
      <c r="H125" s="948"/>
      <c r="I125" s="948"/>
      <c r="J125" s="1049"/>
      <c r="K125" s="1049"/>
      <c r="L125" s="1049"/>
      <c r="M125" s="1049"/>
      <c r="N125" s="1049"/>
      <c r="O125" s="1049"/>
      <c r="P125" s="1049"/>
      <c r="Q125" s="1049"/>
      <c r="R125" s="1049"/>
      <c r="S125" s="1049"/>
      <c r="T125" s="1049"/>
      <c r="U125" s="1049"/>
      <c r="V125" s="1049"/>
      <c r="W125" s="1049"/>
      <c r="X125" s="1049"/>
      <c r="Y125" s="1049"/>
      <c r="Z125" s="1049"/>
      <c r="AA125" s="1049"/>
      <c r="AB125" s="1050"/>
      <c r="AC125" s="902">
        <f t="shared" si="54"/>
        <v>0</v>
      </c>
    </row>
    <row r="126" spans="1:50" s="911" customFormat="1" ht="52.5" customHeight="1">
      <c r="A126" s="1044" t="s">
        <v>467</v>
      </c>
      <c r="B126" s="1071" t="s">
        <v>56</v>
      </c>
      <c r="C126" s="1038" t="s">
        <v>696</v>
      </c>
      <c r="D126" s="937"/>
      <c r="E126" s="937"/>
      <c r="F126" s="937"/>
      <c r="G126" s="937"/>
      <c r="H126" s="937"/>
      <c r="I126" s="937"/>
      <c r="J126" s="1045">
        <f>J128+J127</f>
        <v>18129</v>
      </c>
      <c r="K126" s="1045">
        <f t="shared" ref="K126:AA126" si="82">K128+K127</f>
        <v>0</v>
      </c>
      <c r="L126" s="1045">
        <f t="shared" si="82"/>
        <v>0</v>
      </c>
      <c r="M126" s="1045">
        <f t="shared" si="82"/>
        <v>18129</v>
      </c>
      <c r="N126" s="1045">
        <f t="shared" si="82"/>
        <v>13004</v>
      </c>
      <c r="O126" s="1045">
        <f t="shared" si="82"/>
        <v>0</v>
      </c>
      <c r="P126" s="1045">
        <f t="shared" si="82"/>
        <v>0</v>
      </c>
      <c r="Q126" s="1045">
        <f t="shared" si="82"/>
        <v>13004</v>
      </c>
      <c r="R126" s="1045">
        <f t="shared" si="82"/>
        <v>13004</v>
      </c>
      <c r="S126" s="1045">
        <f t="shared" si="82"/>
        <v>0</v>
      </c>
      <c r="T126" s="1045">
        <f t="shared" si="82"/>
        <v>0</v>
      </c>
      <c r="U126" s="1045">
        <f t="shared" si="82"/>
        <v>13004</v>
      </c>
      <c r="V126" s="1045">
        <f t="shared" si="82"/>
        <v>5125</v>
      </c>
      <c r="W126" s="1045">
        <f>W128+W127</f>
        <v>5125</v>
      </c>
      <c r="X126" s="1045">
        <f t="shared" si="82"/>
        <v>0</v>
      </c>
      <c r="Y126" s="1045">
        <f t="shared" si="82"/>
        <v>0</v>
      </c>
      <c r="Z126" s="1045">
        <f t="shared" si="82"/>
        <v>5125</v>
      </c>
      <c r="AA126" s="1045">
        <f t="shared" si="82"/>
        <v>0</v>
      </c>
      <c r="AB126" s="1046"/>
      <c r="AC126" s="902">
        <f t="shared" si="54"/>
        <v>0</v>
      </c>
    </row>
    <row r="127" spans="1:50" s="10" customFormat="1" ht="52.5" customHeight="1">
      <c r="A127" s="430" t="s">
        <v>144</v>
      </c>
      <c r="B127" s="15" t="s">
        <v>1701</v>
      </c>
      <c r="C127" s="1038" t="s">
        <v>696</v>
      </c>
      <c r="D127" s="1034">
        <v>8139472</v>
      </c>
      <c r="E127" s="1034"/>
      <c r="F127" s="20" t="s">
        <v>1702</v>
      </c>
      <c r="G127" s="13"/>
      <c r="H127" s="20" t="s">
        <v>207</v>
      </c>
      <c r="I127" s="20" t="s">
        <v>1703</v>
      </c>
      <c r="J127" s="12">
        <v>12629</v>
      </c>
      <c r="K127" s="12"/>
      <c r="L127" s="12"/>
      <c r="M127" s="12">
        <f>J127</f>
        <v>12629</v>
      </c>
      <c r="N127" s="12">
        <v>9240</v>
      </c>
      <c r="O127" s="12"/>
      <c r="P127" s="12"/>
      <c r="Q127" s="12">
        <f>N127</f>
        <v>9240</v>
      </c>
      <c r="R127" s="12">
        <v>9240</v>
      </c>
      <c r="S127" s="12"/>
      <c r="T127" s="12"/>
      <c r="U127" s="12">
        <f>R127</f>
        <v>9240</v>
      </c>
      <c r="V127" s="12">
        <v>3389</v>
      </c>
      <c r="W127" s="476">
        <f>SUM(X127:AA127)</f>
        <v>3389</v>
      </c>
      <c r="X127" s="12"/>
      <c r="Y127" s="12"/>
      <c r="Z127" s="12">
        <v>3389</v>
      </c>
      <c r="AA127" s="12"/>
      <c r="AB127" s="91" t="s">
        <v>1622</v>
      </c>
      <c r="AC127" s="380">
        <f t="shared" si="54"/>
        <v>0</v>
      </c>
      <c r="AI127" s="911"/>
      <c r="AJ127" s="925" t="s">
        <v>685</v>
      </c>
      <c r="AK127" s="911"/>
      <c r="AL127" s="911"/>
      <c r="AM127" s="911"/>
      <c r="AN127" s="911"/>
      <c r="AO127" s="911"/>
      <c r="AP127" s="1072"/>
      <c r="AQ127" s="1061"/>
      <c r="AR127" s="911"/>
      <c r="AS127" s="911"/>
      <c r="AT127" s="911"/>
      <c r="AU127" s="911"/>
      <c r="AV127" s="911"/>
      <c r="AW127" s="911"/>
      <c r="AX127" s="911"/>
    </row>
    <row r="128" spans="1:50" s="8" customFormat="1" ht="67.5" customHeight="1">
      <c r="A128" s="32" t="s">
        <v>144</v>
      </c>
      <c r="B128" s="27" t="s">
        <v>1116</v>
      </c>
      <c r="C128" s="1038" t="s">
        <v>696</v>
      </c>
      <c r="D128" s="904" t="s">
        <v>1117</v>
      </c>
      <c r="E128" s="904"/>
      <c r="F128" s="13" t="s">
        <v>926</v>
      </c>
      <c r="G128" s="13" t="s">
        <v>1118</v>
      </c>
      <c r="H128" s="13" t="s">
        <v>136</v>
      </c>
      <c r="I128" s="13" t="s">
        <v>1119</v>
      </c>
      <c r="J128" s="476">
        <v>5500</v>
      </c>
      <c r="K128" s="476"/>
      <c r="L128" s="476"/>
      <c r="M128" s="476">
        <v>5500</v>
      </c>
      <c r="N128" s="476">
        <v>3764</v>
      </c>
      <c r="O128" s="476"/>
      <c r="P128" s="476"/>
      <c r="Q128" s="476">
        <v>3764</v>
      </c>
      <c r="R128" s="476">
        <v>3764</v>
      </c>
      <c r="S128" s="476"/>
      <c r="T128" s="476"/>
      <c r="U128" s="476">
        <v>3764</v>
      </c>
      <c r="V128" s="476">
        <v>1736</v>
      </c>
      <c r="W128" s="476">
        <f>SUM(X128:AA128)</f>
        <v>1736</v>
      </c>
      <c r="X128" s="476"/>
      <c r="Y128" s="476"/>
      <c r="Z128" s="476">
        <v>1736</v>
      </c>
      <c r="AA128" s="476"/>
      <c r="AB128" s="478" t="s">
        <v>1622</v>
      </c>
      <c r="AC128" s="380">
        <f t="shared" si="54"/>
        <v>0</v>
      </c>
      <c r="AI128" s="903"/>
      <c r="AJ128" s="925" t="s">
        <v>685</v>
      </c>
      <c r="AK128" s="903"/>
      <c r="AL128" s="903"/>
      <c r="AM128" s="903"/>
      <c r="AN128" s="903"/>
      <c r="AO128" s="903"/>
      <c r="AP128" s="903"/>
      <c r="AQ128" s="903"/>
      <c r="AR128" s="903"/>
      <c r="AS128" s="903"/>
      <c r="AT128" s="903"/>
      <c r="AU128" s="903"/>
      <c r="AV128" s="903"/>
      <c r="AW128" s="903"/>
      <c r="AX128" s="903"/>
    </row>
    <row r="129" spans="1:50" s="911" customFormat="1" ht="28.5" customHeight="1">
      <c r="A129" s="1044" t="s">
        <v>1306</v>
      </c>
      <c r="B129" s="1035" t="s">
        <v>1314</v>
      </c>
      <c r="C129" s="1038" t="s">
        <v>696</v>
      </c>
      <c r="D129" s="937"/>
      <c r="E129" s="937"/>
      <c r="F129" s="937"/>
      <c r="G129" s="937"/>
      <c r="H129" s="937"/>
      <c r="I129" s="937"/>
      <c r="J129" s="1045"/>
      <c r="K129" s="1045"/>
      <c r="L129" s="1045"/>
      <c r="M129" s="1045"/>
      <c r="N129" s="1045"/>
      <c r="O129" s="1045"/>
      <c r="P129" s="1045"/>
      <c r="Q129" s="1045"/>
      <c r="R129" s="1045"/>
      <c r="S129" s="1045"/>
      <c r="T129" s="1045"/>
      <c r="U129" s="1045"/>
      <c r="V129" s="1045"/>
      <c r="W129" s="1045"/>
      <c r="X129" s="1045"/>
      <c r="Y129" s="1045"/>
      <c r="Z129" s="1045"/>
      <c r="AA129" s="1045"/>
      <c r="AB129" s="1046"/>
      <c r="AC129" s="902">
        <f t="shared" si="54"/>
        <v>0</v>
      </c>
    </row>
    <row r="130" spans="1:50" s="903" customFormat="1" ht="38.25" customHeight="1">
      <c r="A130" s="1051">
        <v>13</v>
      </c>
      <c r="B130" s="896" t="s">
        <v>704</v>
      </c>
      <c r="C130" s="1038" t="s">
        <v>704</v>
      </c>
      <c r="D130" s="904"/>
      <c r="E130" s="904"/>
      <c r="F130" s="904"/>
      <c r="G130" s="904"/>
      <c r="H130" s="904"/>
      <c r="I130" s="904"/>
      <c r="J130" s="1047">
        <f t="shared" ref="J130:AA130" si="83">J131</f>
        <v>68311.428</v>
      </c>
      <c r="K130" s="1047">
        <f t="shared" si="83"/>
        <v>0</v>
      </c>
      <c r="L130" s="1047">
        <f t="shared" si="83"/>
        <v>0</v>
      </c>
      <c r="M130" s="1047">
        <f t="shared" si="83"/>
        <v>68311.428</v>
      </c>
      <c r="N130" s="1047">
        <f t="shared" si="83"/>
        <v>7277</v>
      </c>
      <c r="O130" s="1047">
        <f t="shared" si="83"/>
        <v>0</v>
      </c>
      <c r="P130" s="1047">
        <f t="shared" si="83"/>
        <v>0</v>
      </c>
      <c r="Q130" s="1047">
        <f t="shared" si="83"/>
        <v>7277</v>
      </c>
      <c r="R130" s="1047">
        <f t="shared" si="83"/>
        <v>7277</v>
      </c>
      <c r="S130" s="1047">
        <f t="shared" si="83"/>
        <v>0</v>
      </c>
      <c r="T130" s="1047">
        <f t="shared" si="83"/>
        <v>0</v>
      </c>
      <c r="U130" s="1047">
        <f t="shared" si="83"/>
        <v>7277</v>
      </c>
      <c r="V130" s="1047">
        <f t="shared" si="83"/>
        <v>61034.428</v>
      </c>
      <c r="W130" s="1047">
        <f t="shared" si="83"/>
        <v>26196</v>
      </c>
      <c r="X130" s="1047">
        <f t="shared" si="83"/>
        <v>0</v>
      </c>
      <c r="Y130" s="1047">
        <f t="shared" si="83"/>
        <v>0</v>
      </c>
      <c r="Z130" s="1047">
        <f t="shared" si="83"/>
        <v>26196</v>
      </c>
      <c r="AA130" s="1047">
        <f t="shared" si="83"/>
        <v>0</v>
      </c>
      <c r="AB130" s="1048"/>
      <c r="AC130" s="902">
        <f t="shared" si="54"/>
        <v>0</v>
      </c>
    </row>
    <row r="131" spans="1:50" s="951" customFormat="1" ht="33" customHeight="1">
      <c r="A131" s="1052" t="s">
        <v>1323</v>
      </c>
      <c r="B131" s="906" t="s">
        <v>38</v>
      </c>
      <c r="C131" s="1038" t="s">
        <v>704</v>
      </c>
      <c r="D131" s="948"/>
      <c r="E131" s="948"/>
      <c r="F131" s="948"/>
      <c r="G131" s="948"/>
      <c r="H131" s="948"/>
      <c r="I131" s="948"/>
      <c r="J131" s="1049">
        <f t="shared" ref="J131:AA131" si="84">+J132+J133+J137</f>
        <v>68311.428</v>
      </c>
      <c r="K131" s="1049">
        <f t="shared" si="84"/>
        <v>0</v>
      </c>
      <c r="L131" s="1049">
        <f t="shared" si="84"/>
        <v>0</v>
      </c>
      <c r="M131" s="1049">
        <f t="shared" si="84"/>
        <v>68311.428</v>
      </c>
      <c r="N131" s="1049">
        <f t="shared" si="84"/>
        <v>7277</v>
      </c>
      <c r="O131" s="1049">
        <f t="shared" si="84"/>
        <v>0</v>
      </c>
      <c r="P131" s="1049">
        <f t="shared" si="84"/>
        <v>0</v>
      </c>
      <c r="Q131" s="1049">
        <f t="shared" si="84"/>
        <v>7277</v>
      </c>
      <c r="R131" s="1049">
        <f t="shared" si="84"/>
        <v>7277</v>
      </c>
      <c r="S131" s="1049">
        <f t="shared" si="84"/>
        <v>0</v>
      </c>
      <c r="T131" s="1049">
        <f t="shared" si="84"/>
        <v>0</v>
      </c>
      <c r="U131" s="1049">
        <f t="shared" si="84"/>
        <v>7277</v>
      </c>
      <c r="V131" s="1049">
        <f t="shared" si="84"/>
        <v>61034.428</v>
      </c>
      <c r="W131" s="1049">
        <f t="shared" si="84"/>
        <v>26196</v>
      </c>
      <c r="X131" s="1049">
        <f t="shared" si="84"/>
        <v>0</v>
      </c>
      <c r="Y131" s="1049">
        <f t="shared" si="84"/>
        <v>0</v>
      </c>
      <c r="Z131" s="1049">
        <f t="shared" si="84"/>
        <v>26196</v>
      </c>
      <c r="AA131" s="1049">
        <f t="shared" si="84"/>
        <v>0</v>
      </c>
      <c r="AB131" s="1050"/>
      <c r="AC131" s="902">
        <f t="shared" si="54"/>
        <v>0</v>
      </c>
    </row>
    <row r="132" spans="1:50" s="951" customFormat="1" ht="31.5" customHeight="1">
      <c r="A132" s="1044" t="s">
        <v>39</v>
      </c>
      <c r="B132" s="913" t="s">
        <v>1254</v>
      </c>
      <c r="C132" s="1038" t="s">
        <v>704</v>
      </c>
      <c r="D132" s="948"/>
      <c r="E132" s="948"/>
      <c r="F132" s="948"/>
      <c r="G132" s="948"/>
      <c r="H132" s="948"/>
      <c r="I132" s="948"/>
      <c r="J132" s="1049"/>
      <c r="K132" s="1049"/>
      <c r="L132" s="1049"/>
      <c r="M132" s="1049"/>
      <c r="N132" s="1049"/>
      <c r="O132" s="1049"/>
      <c r="P132" s="1049"/>
      <c r="Q132" s="1049"/>
      <c r="R132" s="1049"/>
      <c r="S132" s="1049"/>
      <c r="T132" s="1049"/>
      <c r="U132" s="1049"/>
      <c r="V132" s="1049"/>
      <c r="W132" s="1049"/>
      <c r="X132" s="1049"/>
      <c r="Y132" s="1049"/>
      <c r="Z132" s="1049"/>
      <c r="AA132" s="1049"/>
      <c r="AB132" s="1050"/>
      <c r="AC132" s="902">
        <f t="shared" si="54"/>
        <v>0</v>
      </c>
    </row>
    <row r="133" spans="1:50" s="911" customFormat="1" ht="50.25" customHeight="1">
      <c r="A133" s="1044" t="s">
        <v>467</v>
      </c>
      <c r="B133" s="1071" t="s">
        <v>56</v>
      </c>
      <c r="C133" s="1038" t="s">
        <v>704</v>
      </c>
      <c r="D133" s="937"/>
      <c r="E133" s="937"/>
      <c r="F133" s="937"/>
      <c r="G133" s="937"/>
      <c r="H133" s="937"/>
      <c r="I133" s="937"/>
      <c r="J133" s="1045">
        <f t="shared" ref="J133:AA133" si="85">SUM(J134:J136)</f>
        <v>68311.428</v>
      </c>
      <c r="K133" s="1045">
        <f t="shared" si="85"/>
        <v>0</v>
      </c>
      <c r="L133" s="1045">
        <f t="shared" si="85"/>
        <v>0</v>
      </c>
      <c r="M133" s="1045">
        <f t="shared" si="85"/>
        <v>68311.428</v>
      </c>
      <c r="N133" s="1045">
        <f t="shared" si="85"/>
        <v>7277</v>
      </c>
      <c r="O133" s="1045">
        <f t="shared" si="85"/>
        <v>0</v>
      </c>
      <c r="P133" s="1045">
        <f t="shared" si="85"/>
        <v>0</v>
      </c>
      <c r="Q133" s="1045">
        <f t="shared" si="85"/>
        <v>7277</v>
      </c>
      <c r="R133" s="1045">
        <f t="shared" si="85"/>
        <v>7277</v>
      </c>
      <c r="S133" s="1045">
        <f t="shared" si="85"/>
        <v>0</v>
      </c>
      <c r="T133" s="1045">
        <f t="shared" si="85"/>
        <v>0</v>
      </c>
      <c r="U133" s="1045">
        <f t="shared" si="85"/>
        <v>7277</v>
      </c>
      <c r="V133" s="1045">
        <f t="shared" si="85"/>
        <v>61034.428</v>
      </c>
      <c r="W133" s="1045">
        <f>SUM(W134:W136)</f>
        <v>26196</v>
      </c>
      <c r="X133" s="1045">
        <f t="shared" si="85"/>
        <v>0</v>
      </c>
      <c r="Y133" s="1045">
        <f t="shared" si="85"/>
        <v>0</v>
      </c>
      <c r="Z133" s="1045">
        <f t="shared" si="85"/>
        <v>26196</v>
      </c>
      <c r="AA133" s="1045">
        <f t="shared" si="85"/>
        <v>0</v>
      </c>
      <c r="AB133" s="1046"/>
      <c r="AC133" s="902">
        <f t="shared" si="54"/>
        <v>0</v>
      </c>
    </row>
    <row r="134" spans="1:50" s="8" customFormat="1" ht="75.75" customHeight="1">
      <c r="A134" s="32" t="s">
        <v>144</v>
      </c>
      <c r="B134" s="27" t="s">
        <v>1120</v>
      </c>
      <c r="C134" s="1038" t="s">
        <v>704</v>
      </c>
      <c r="D134" s="904">
        <v>8131423</v>
      </c>
      <c r="E134" s="904"/>
      <c r="F134" s="13" t="s">
        <v>706</v>
      </c>
      <c r="G134" s="13" t="s">
        <v>1121</v>
      </c>
      <c r="H134" s="13" t="s">
        <v>136</v>
      </c>
      <c r="I134" s="13" t="s">
        <v>1122</v>
      </c>
      <c r="J134" s="476">
        <v>14796</v>
      </c>
      <c r="K134" s="476"/>
      <c r="L134" s="476"/>
      <c r="M134" s="476">
        <v>14796</v>
      </c>
      <c r="N134" s="476">
        <v>6600</v>
      </c>
      <c r="O134" s="476"/>
      <c r="P134" s="476"/>
      <c r="Q134" s="476">
        <v>6600</v>
      </c>
      <c r="R134" s="476">
        <v>6600</v>
      </c>
      <c r="S134" s="476"/>
      <c r="T134" s="476"/>
      <c r="U134" s="476">
        <v>6600</v>
      </c>
      <c r="V134" s="493">
        <v>8196</v>
      </c>
      <c r="W134" s="476">
        <f>SUM(X134:AA134)</f>
        <v>8196</v>
      </c>
      <c r="X134" s="476"/>
      <c r="Y134" s="476"/>
      <c r="Z134" s="476">
        <v>8196</v>
      </c>
      <c r="AA134" s="476"/>
      <c r="AB134" s="478" t="s">
        <v>1622</v>
      </c>
      <c r="AC134" s="380">
        <f t="shared" si="54"/>
        <v>0</v>
      </c>
      <c r="AI134" s="903"/>
      <c r="AJ134" s="925" t="s">
        <v>685</v>
      </c>
      <c r="AK134" s="903"/>
      <c r="AL134" s="903"/>
      <c r="AM134" s="903"/>
      <c r="AN134" s="903"/>
      <c r="AO134" s="903"/>
      <c r="AP134" s="903"/>
      <c r="AQ134" s="903"/>
      <c r="AR134" s="903"/>
      <c r="AS134" s="903"/>
      <c r="AT134" s="903"/>
      <c r="AU134" s="903"/>
      <c r="AV134" s="903"/>
      <c r="AW134" s="903"/>
      <c r="AX134" s="903"/>
    </row>
    <row r="135" spans="1:50" s="8" customFormat="1" ht="51" customHeight="1">
      <c r="A135" s="32" t="s">
        <v>144</v>
      </c>
      <c r="B135" s="27" t="s">
        <v>1123</v>
      </c>
      <c r="C135" s="1038" t="s">
        <v>704</v>
      </c>
      <c r="D135" s="904">
        <v>8051228</v>
      </c>
      <c r="E135" s="904"/>
      <c r="F135" s="13" t="s">
        <v>937</v>
      </c>
      <c r="G135" s="13" t="s">
        <v>1124</v>
      </c>
      <c r="H135" s="13" t="s">
        <v>165</v>
      </c>
      <c r="I135" s="13" t="s">
        <v>1125</v>
      </c>
      <c r="J135" s="476">
        <v>30280</v>
      </c>
      <c r="K135" s="476"/>
      <c r="L135" s="476"/>
      <c r="M135" s="476">
        <v>30280</v>
      </c>
      <c r="N135" s="476">
        <v>344</v>
      </c>
      <c r="O135" s="476"/>
      <c r="P135" s="476"/>
      <c r="Q135" s="476">
        <v>344</v>
      </c>
      <c r="R135" s="476">
        <v>344</v>
      </c>
      <c r="S135" s="476"/>
      <c r="T135" s="476"/>
      <c r="U135" s="476">
        <v>344</v>
      </c>
      <c r="V135" s="476">
        <v>29936</v>
      </c>
      <c r="W135" s="476">
        <f t="shared" ref="W135:W136" si="86">SUM(X135:AA135)</f>
        <v>10000</v>
      </c>
      <c r="X135" s="476"/>
      <c r="Y135" s="476"/>
      <c r="Z135" s="476">
        <v>10000</v>
      </c>
      <c r="AA135" s="476"/>
      <c r="AB135" s="478" t="s">
        <v>1639</v>
      </c>
      <c r="AC135" s="380">
        <f t="shared" si="54"/>
        <v>0</v>
      </c>
      <c r="AI135" s="903"/>
      <c r="AJ135" s="925" t="s">
        <v>685</v>
      </c>
      <c r="AK135" s="903"/>
      <c r="AL135" s="903"/>
      <c r="AM135" s="903"/>
      <c r="AN135" s="903"/>
      <c r="AO135" s="903"/>
      <c r="AP135" s="903"/>
      <c r="AQ135" s="903"/>
      <c r="AR135" s="903"/>
      <c r="AS135" s="903"/>
      <c r="AT135" s="903"/>
      <c r="AU135" s="903"/>
      <c r="AV135" s="903"/>
      <c r="AW135" s="903"/>
      <c r="AX135" s="903"/>
    </row>
    <row r="136" spans="1:50" s="8" customFormat="1" ht="51" customHeight="1">
      <c r="A136" s="32" t="s">
        <v>144</v>
      </c>
      <c r="B136" s="27" t="s">
        <v>1126</v>
      </c>
      <c r="C136" s="1038" t="s">
        <v>704</v>
      </c>
      <c r="D136" s="904">
        <v>8057460</v>
      </c>
      <c r="E136" s="904"/>
      <c r="F136" s="13" t="s">
        <v>937</v>
      </c>
      <c r="G136" s="13" t="s">
        <v>1127</v>
      </c>
      <c r="H136" s="13" t="s">
        <v>165</v>
      </c>
      <c r="I136" s="13" t="s">
        <v>1128</v>
      </c>
      <c r="J136" s="476">
        <v>23235.428</v>
      </c>
      <c r="K136" s="476"/>
      <c r="L136" s="476"/>
      <c r="M136" s="476">
        <v>23235.428</v>
      </c>
      <c r="N136" s="476">
        <v>333</v>
      </c>
      <c r="O136" s="476"/>
      <c r="P136" s="476"/>
      <c r="Q136" s="476">
        <v>333</v>
      </c>
      <c r="R136" s="476">
        <v>333</v>
      </c>
      <c r="S136" s="476"/>
      <c r="T136" s="476"/>
      <c r="U136" s="476">
        <v>333</v>
      </c>
      <c r="V136" s="476">
        <v>22902.428</v>
      </c>
      <c r="W136" s="476">
        <f t="shared" si="86"/>
        <v>8000</v>
      </c>
      <c r="X136" s="476"/>
      <c r="Y136" s="476"/>
      <c r="Z136" s="476">
        <v>8000</v>
      </c>
      <c r="AA136" s="476"/>
      <c r="AB136" s="478" t="s">
        <v>1639</v>
      </c>
      <c r="AC136" s="380">
        <f t="shared" si="54"/>
        <v>0</v>
      </c>
      <c r="AI136" s="903"/>
      <c r="AJ136" s="925" t="s">
        <v>685</v>
      </c>
      <c r="AK136" s="903"/>
      <c r="AL136" s="903"/>
      <c r="AM136" s="903"/>
      <c r="AN136" s="903"/>
      <c r="AO136" s="903"/>
      <c r="AP136" s="903"/>
      <c r="AQ136" s="903"/>
      <c r="AR136" s="903"/>
      <c r="AS136" s="903"/>
      <c r="AT136" s="903"/>
      <c r="AU136" s="903"/>
      <c r="AV136" s="903"/>
      <c r="AW136" s="903"/>
      <c r="AX136" s="903"/>
    </row>
    <row r="137" spans="1:50" s="911" customFormat="1" ht="33" customHeight="1">
      <c r="A137" s="1044" t="s">
        <v>1306</v>
      </c>
      <c r="B137" s="1073" t="s">
        <v>1314</v>
      </c>
      <c r="C137" s="1038" t="s">
        <v>704</v>
      </c>
      <c r="D137" s="937"/>
      <c r="E137" s="937"/>
      <c r="F137" s="937"/>
      <c r="G137" s="937"/>
      <c r="H137" s="937"/>
      <c r="I137" s="937"/>
      <c r="J137" s="1045"/>
      <c r="K137" s="1045"/>
      <c r="L137" s="1045"/>
      <c r="M137" s="1045"/>
      <c r="N137" s="1045"/>
      <c r="O137" s="1045"/>
      <c r="P137" s="1045"/>
      <c r="Q137" s="1045"/>
      <c r="R137" s="1045"/>
      <c r="S137" s="1045"/>
      <c r="T137" s="1045"/>
      <c r="U137" s="1045"/>
      <c r="V137" s="1045"/>
      <c r="W137" s="1045"/>
      <c r="X137" s="1045"/>
      <c r="Y137" s="1045"/>
      <c r="Z137" s="1045"/>
      <c r="AA137" s="1045"/>
      <c r="AB137" s="1046"/>
      <c r="AC137" s="902">
        <f t="shared" si="54"/>
        <v>0</v>
      </c>
    </row>
    <row r="138" spans="1:50" s="903" customFormat="1" ht="34.5" customHeight="1">
      <c r="A138" s="957" t="s">
        <v>1338</v>
      </c>
      <c r="B138" s="896" t="s">
        <v>80</v>
      </c>
      <c r="C138" s="1038" t="s">
        <v>80</v>
      </c>
      <c r="D138" s="1034"/>
      <c r="E138" s="1034"/>
      <c r="F138" s="1034"/>
      <c r="G138" s="904"/>
      <c r="H138" s="1034"/>
      <c r="I138" s="1034"/>
      <c r="J138" s="1074">
        <f>+J139</f>
        <v>73000</v>
      </c>
      <c r="K138" s="1074">
        <f t="shared" ref="K138:AA138" si="87">+K139</f>
        <v>0</v>
      </c>
      <c r="L138" s="1074">
        <f t="shared" si="87"/>
        <v>0</v>
      </c>
      <c r="M138" s="1074">
        <f t="shared" si="87"/>
        <v>73000</v>
      </c>
      <c r="N138" s="1074">
        <f t="shared" si="87"/>
        <v>45750</v>
      </c>
      <c r="O138" s="1074">
        <f t="shared" si="87"/>
        <v>0</v>
      </c>
      <c r="P138" s="1074">
        <f t="shared" si="87"/>
        <v>0</v>
      </c>
      <c r="Q138" s="1074">
        <f t="shared" si="87"/>
        <v>45750</v>
      </c>
      <c r="R138" s="1074">
        <f t="shared" si="87"/>
        <v>53006</v>
      </c>
      <c r="S138" s="1074">
        <f t="shared" si="87"/>
        <v>0</v>
      </c>
      <c r="T138" s="1074">
        <f t="shared" si="87"/>
        <v>0</v>
      </c>
      <c r="U138" s="1074">
        <f t="shared" si="87"/>
        <v>53006</v>
      </c>
      <c r="V138" s="1074">
        <f t="shared" si="87"/>
        <v>11586</v>
      </c>
      <c r="W138" s="1074">
        <f t="shared" si="87"/>
        <v>11586</v>
      </c>
      <c r="X138" s="1074">
        <f t="shared" si="87"/>
        <v>0</v>
      </c>
      <c r="Y138" s="1074">
        <f t="shared" si="87"/>
        <v>0</v>
      </c>
      <c r="Z138" s="1074">
        <f t="shared" si="87"/>
        <v>11586</v>
      </c>
      <c r="AA138" s="1074">
        <f t="shared" si="87"/>
        <v>0</v>
      </c>
      <c r="AB138" s="1075"/>
      <c r="AC138" s="902">
        <f t="shared" si="54"/>
        <v>0</v>
      </c>
    </row>
    <row r="139" spans="1:50" s="911" customFormat="1" ht="34.5" customHeight="1">
      <c r="A139" s="1076" t="s">
        <v>1324</v>
      </c>
      <c r="B139" s="906" t="s">
        <v>38</v>
      </c>
      <c r="C139" s="1038" t="s">
        <v>80</v>
      </c>
      <c r="D139" s="1036"/>
      <c r="E139" s="1036"/>
      <c r="F139" s="1036"/>
      <c r="G139" s="937"/>
      <c r="H139" s="1036"/>
      <c r="I139" s="1036"/>
      <c r="J139" s="1007">
        <f t="shared" ref="J139" si="88">+J140+J143</f>
        <v>73000</v>
      </c>
      <c r="K139" s="1007">
        <f t="shared" ref="K139" si="89">+K140+K143</f>
        <v>0</v>
      </c>
      <c r="L139" s="1007">
        <f t="shared" ref="L139" si="90">+L140+L143</f>
        <v>0</v>
      </c>
      <c r="M139" s="1007">
        <f t="shared" ref="M139" si="91">+M140+M143</f>
        <v>73000</v>
      </c>
      <c r="N139" s="1007">
        <f t="shared" ref="N139" si="92">+N140+N143</f>
        <v>45750</v>
      </c>
      <c r="O139" s="1007">
        <f t="shared" ref="O139" si="93">+O140+O143</f>
        <v>0</v>
      </c>
      <c r="P139" s="1007">
        <f t="shared" ref="P139" si="94">+P140+P143</f>
        <v>0</v>
      </c>
      <c r="Q139" s="1007">
        <f t="shared" ref="Q139" si="95">+Q140+Q143</f>
        <v>45750</v>
      </c>
      <c r="R139" s="1007">
        <f t="shared" ref="R139" si="96">+R140+R143</f>
        <v>53006</v>
      </c>
      <c r="S139" s="1007">
        <f t="shared" ref="S139" si="97">+S140+S143</f>
        <v>0</v>
      </c>
      <c r="T139" s="1007">
        <f t="shared" ref="T139" si="98">+T140+T143</f>
        <v>0</v>
      </c>
      <c r="U139" s="1007">
        <f t="shared" ref="U139" si="99">+U140+U143</f>
        <v>53006</v>
      </c>
      <c r="V139" s="1007">
        <f t="shared" ref="V139" si="100">+V140+V143</f>
        <v>11586</v>
      </c>
      <c r="W139" s="1007">
        <f t="shared" ref="W139" si="101">+W140+W143</f>
        <v>11586</v>
      </c>
      <c r="X139" s="1007">
        <f t="shared" ref="X139" si="102">+X140+X143</f>
        <v>0</v>
      </c>
      <c r="Y139" s="1007">
        <f t="shared" ref="Y139" si="103">+Y140+Y143</f>
        <v>0</v>
      </c>
      <c r="Z139" s="1007">
        <f t="shared" ref="Z139" si="104">+Z140+Z143</f>
        <v>11586</v>
      </c>
      <c r="AA139" s="1007">
        <f t="shared" ref="AA139" si="105">+AA140+AA143</f>
        <v>0</v>
      </c>
      <c r="AB139" s="1008"/>
      <c r="AC139" s="902">
        <f t="shared" si="54"/>
        <v>0</v>
      </c>
    </row>
    <row r="140" spans="1:50" s="951" customFormat="1" ht="31.5" customHeight="1">
      <c r="A140" s="1044" t="s">
        <v>39</v>
      </c>
      <c r="B140" s="913" t="s">
        <v>1254</v>
      </c>
      <c r="C140" s="1038" t="s">
        <v>80</v>
      </c>
      <c r="D140" s="948"/>
      <c r="E140" s="948"/>
      <c r="F140" s="948"/>
      <c r="G140" s="948"/>
      <c r="H140" s="948"/>
      <c r="I140" s="948"/>
      <c r="J140" s="1049">
        <f>+SUM(J141:J142)</f>
        <v>33000</v>
      </c>
      <c r="K140" s="1049">
        <f t="shared" ref="K140:AA140" si="106">+SUM(K141:K142)</f>
        <v>0</v>
      </c>
      <c r="L140" s="1049">
        <f t="shared" si="106"/>
        <v>0</v>
      </c>
      <c r="M140" s="1049">
        <f t="shared" si="106"/>
        <v>33000</v>
      </c>
      <c r="N140" s="1049">
        <f t="shared" si="106"/>
        <v>22500</v>
      </c>
      <c r="O140" s="1049">
        <f t="shared" si="106"/>
        <v>0</v>
      </c>
      <c r="P140" s="1049">
        <f t="shared" si="106"/>
        <v>0</v>
      </c>
      <c r="Q140" s="1049">
        <f t="shared" si="106"/>
        <v>22500</v>
      </c>
      <c r="R140" s="1049">
        <f t="shared" si="106"/>
        <v>22500</v>
      </c>
      <c r="S140" s="1049">
        <f t="shared" si="106"/>
        <v>0</v>
      </c>
      <c r="T140" s="1049">
        <f t="shared" si="106"/>
        <v>0</v>
      </c>
      <c r="U140" s="1049">
        <f t="shared" si="106"/>
        <v>22500</v>
      </c>
      <c r="V140" s="1049">
        <f t="shared" si="106"/>
        <v>2092</v>
      </c>
      <c r="W140" s="1049">
        <f>+SUM(W141:W142)</f>
        <v>2092</v>
      </c>
      <c r="X140" s="1049">
        <f t="shared" si="106"/>
        <v>0</v>
      </c>
      <c r="Y140" s="1049">
        <f t="shared" si="106"/>
        <v>0</v>
      </c>
      <c r="Z140" s="1049">
        <f t="shared" si="106"/>
        <v>2092</v>
      </c>
      <c r="AA140" s="1049">
        <f t="shared" si="106"/>
        <v>0</v>
      </c>
      <c r="AB140" s="1050"/>
      <c r="AC140" s="902">
        <f t="shared" si="54"/>
        <v>0</v>
      </c>
    </row>
    <row r="141" spans="1:50" s="903" customFormat="1" ht="78.75" customHeight="1">
      <c r="A141" s="957" t="s">
        <v>144</v>
      </c>
      <c r="B141" s="917" t="s">
        <v>1206</v>
      </c>
      <c r="C141" s="1038" t="s">
        <v>80</v>
      </c>
      <c r="D141" s="1077">
        <v>7716925</v>
      </c>
      <c r="E141" s="1034"/>
      <c r="F141" s="1034"/>
      <c r="G141" s="1078" t="s">
        <v>186</v>
      </c>
      <c r="H141" s="1079" t="s">
        <v>790</v>
      </c>
      <c r="I141" s="904" t="s">
        <v>1207</v>
      </c>
      <c r="J141" s="969">
        <v>8000</v>
      </c>
      <c r="K141" s="1074"/>
      <c r="L141" s="1074"/>
      <c r="M141" s="921">
        <v>8000</v>
      </c>
      <c r="N141" s="1074"/>
      <c r="O141" s="1074"/>
      <c r="P141" s="1074"/>
      <c r="Q141" s="1074"/>
      <c r="R141" s="1074"/>
      <c r="S141" s="1074"/>
      <c r="T141" s="1074"/>
      <c r="U141" s="1074"/>
      <c r="V141" s="1080">
        <v>233</v>
      </c>
      <c r="W141" s="963">
        <f>SUM(X141:AA141)</f>
        <v>233</v>
      </c>
      <c r="X141" s="963"/>
      <c r="Y141" s="963"/>
      <c r="Z141" s="963">
        <v>233</v>
      </c>
      <c r="AA141" s="963"/>
      <c r="AB141" s="920" t="s">
        <v>1308</v>
      </c>
      <c r="AC141" s="902">
        <f t="shared" si="54"/>
        <v>0</v>
      </c>
      <c r="AJ141" s="903" t="s">
        <v>1308</v>
      </c>
    </row>
    <row r="142" spans="1:50" s="903" customFormat="1" ht="68.25" customHeight="1">
      <c r="A142" s="957" t="s">
        <v>144</v>
      </c>
      <c r="B142" s="917" t="s">
        <v>1704</v>
      </c>
      <c r="C142" s="1038"/>
      <c r="D142" s="1077">
        <v>7909402</v>
      </c>
      <c r="E142" s="1034"/>
      <c r="F142" s="1034" t="s">
        <v>115</v>
      </c>
      <c r="G142" s="1078" t="s">
        <v>186</v>
      </c>
      <c r="H142" s="1079" t="s">
        <v>440</v>
      </c>
      <c r="I142" s="904" t="s">
        <v>1241</v>
      </c>
      <c r="J142" s="969">
        <v>25000</v>
      </c>
      <c r="K142" s="1074"/>
      <c r="L142" s="1074"/>
      <c r="M142" s="921">
        <v>25000</v>
      </c>
      <c r="N142" s="921">
        <v>22500</v>
      </c>
      <c r="O142" s="921"/>
      <c r="P142" s="921"/>
      <c r="Q142" s="921">
        <v>22500</v>
      </c>
      <c r="R142" s="921">
        <v>22500</v>
      </c>
      <c r="S142" s="921"/>
      <c r="T142" s="921"/>
      <c r="U142" s="921">
        <v>22500</v>
      </c>
      <c r="V142" s="1080">
        <v>1859</v>
      </c>
      <c r="W142" s="977">
        <f>SUM(X142:AA142)</f>
        <v>1859</v>
      </c>
      <c r="X142" s="1080"/>
      <c r="Y142" s="1080"/>
      <c r="Z142" s="1080">
        <v>1859</v>
      </c>
      <c r="AA142" s="963"/>
      <c r="AB142" s="904" t="s">
        <v>1308</v>
      </c>
      <c r="AC142" s="902">
        <f t="shared" si="54"/>
        <v>0</v>
      </c>
      <c r="AJ142" s="903" t="s">
        <v>1308</v>
      </c>
      <c r="AP142" s="925"/>
      <c r="AQ142" s="1061"/>
    </row>
    <row r="143" spans="1:50" s="911" customFormat="1" ht="49.5" customHeight="1">
      <c r="A143" s="916" t="s">
        <v>467</v>
      </c>
      <c r="B143" s="913" t="s">
        <v>56</v>
      </c>
      <c r="C143" s="1038" t="s">
        <v>80</v>
      </c>
      <c r="D143" s="1036"/>
      <c r="E143" s="1036"/>
      <c r="F143" s="1036"/>
      <c r="G143" s="937"/>
      <c r="H143" s="1036"/>
      <c r="I143" s="1036"/>
      <c r="J143" s="979">
        <f>+J144</f>
        <v>40000</v>
      </c>
      <c r="K143" s="979">
        <f t="shared" ref="K143:AA143" si="107">+K144</f>
        <v>0</v>
      </c>
      <c r="L143" s="979">
        <f t="shared" si="107"/>
        <v>0</v>
      </c>
      <c r="M143" s="979">
        <f t="shared" si="107"/>
        <v>40000</v>
      </c>
      <c r="N143" s="979">
        <f t="shared" si="107"/>
        <v>23250</v>
      </c>
      <c r="O143" s="979">
        <f t="shared" si="107"/>
        <v>0</v>
      </c>
      <c r="P143" s="979">
        <f t="shared" si="107"/>
        <v>0</v>
      </c>
      <c r="Q143" s="979">
        <f t="shared" si="107"/>
        <v>23250</v>
      </c>
      <c r="R143" s="979">
        <f t="shared" si="107"/>
        <v>30506</v>
      </c>
      <c r="S143" s="979">
        <f t="shared" si="107"/>
        <v>0</v>
      </c>
      <c r="T143" s="979">
        <f t="shared" si="107"/>
        <v>0</v>
      </c>
      <c r="U143" s="979">
        <f t="shared" si="107"/>
        <v>30506</v>
      </c>
      <c r="V143" s="979">
        <f t="shared" si="107"/>
        <v>9494</v>
      </c>
      <c r="W143" s="979">
        <f t="shared" si="107"/>
        <v>9494</v>
      </c>
      <c r="X143" s="979">
        <f t="shared" si="107"/>
        <v>0</v>
      </c>
      <c r="Y143" s="979">
        <f t="shared" si="107"/>
        <v>0</v>
      </c>
      <c r="Z143" s="979">
        <f t="shared" si="107"/>
        <v>9494</v>
      </c>
      <c r="AA143" s="979">
        <f t="shared" si="107"/>
        <v>0</v>
      </c>
      <c r="AB143" s="980"/>
      <c r="AC143" s="902">
        <f t="shared" si="54"/>
        <v>0</v>
      </c>
    </row>
    <row r="144" spans="1:50" s="8" customFormat="1" ht="119.25" customHeight="1">
      <c r="A144" s="426" t="s">
        <v>144</v>
      </c>
      <c r="B144" s="42" t="s">
        <v>1279</v>
      </c>
      <c r="C144" s="1038" t="s">
        <v>80</v>
      </c>
      <c r="D144" s="904">
        <v>8024440</v>
      </c>
      <c r="E144" s="1034"/>
      <c r="F144" s="349" t="s">
        <v>1280</v>
      </c>
      <c r="G144" s="13" t="s">
        <v>186</v>
      </c>
      <c r="H144" s="433" t="s">
        <v>41</v>
      </c>
      <c r="I144" s="497" t="s">
        <v>1281</v>
      </c>
      <c r="J144" s="12">
        <v>40000</v>
      </c>
      <c r="K144" s="14"/>
      <c r="L144" s="14"/>
      <c r="M144" s="19">
        <v>40000</v>
      </c>
      <c r="N144" s="407">
        <v>23250</v>
      </c>
      <c r="O144" s="14"/>
      <c r="P144" s="14"/>
      <c r="Q144" s="407">
        <v>23250</v>
      </c>
      <c r="R144" s="407">
        <v>30506</v>
      </c>
      <c r="S144" s="14"/>
      <c r="T144" s="14"/>
      <c r="U144" s="407">
        <v>30506</v>
      </c>
      <c r="V144" s="407">
        <f>9494</f>
        <v>9494</v>
      </c>
      <c r="W144" s="110">
        <f>SUM(X144:AA144)</f>
        <v>9494</v>
      </c>
      <c r="X144" s="44"/>
      <c r="Y144" s="44"/>
      <c r="Z144" s="44">
        <v>9494</v>
      </c>
      <c r="AA144" s="44"/>
      <c r="AB144" s="13" t="s">
        <v>1622</v>
      </c>
      <c r="AC144" s="380">
        <f t="shared" si="54"/>
        <v>0</v>
      </c>
      <c r="AI144" s="903"/>
      <c r="AJ144" s="925" t="s">
        <v>685</v>
      </c>
      <c r="AK144" s="903"/>
      <c r="AL144" s="903"/>
      <c r="AM144" s="903"/>
      <c r="AN144" s="903"/>
      <c r="AO144" s="903"/>
      <c r="AP144" s="903"/>
      <c r="AQ144" s="903"/>
      <c r="AR144" s="903"/>
      <c r="AS144" s="903"/>
      <c r="AT144" s="903"/>
      <c r="AU144" s="903"/>
      <c r="AV144" s="903"/>
      <c r="AW144" s="903"/>
      <c r="AX144" s="903"/>
    </row>
    <row r="145" spans="1:50" s="942" customFormat="1" ht="30.75" customHeight="1">
      <c r="A145" s="993" t="s">
        <v>1306</v>
      </c>
      <c r="B145" s="1073" t="s">
        <v>1314</v>
      </c>
      <c r="C145" s="1038" t="s">
        <v>80</v>
      </c>
      <c r="D145" s="1073"/>
      <c r="E145" s="1073"/>
      <c r="F145" s="1073"/>
      <c r="G145" s="1073"/>
      <c r="H145" s="1073"/>
      <c r="I145" s="993"/>
      <c r="J145" s="914"/>
      <c r="K145" s="914"/>
      <c r="L145" s="914"/>
      <c r="M145" s="914"/>
      <c r="N145" s="914"/>
      <c r="O145" s="914"/>
      <c r="P145" s="914"/>
      <c r="Q145" s="914"/>
      <c r="R145" s="914"/>
      <c r="S145" s="914"/>
      <c r="T145" s="914"/>
      <c r="U145" s="914"/>
      <c r="V145" s="914"/>
      <c r="W145" s="914"/>
      <c r="X145" s="914"/>
      <c r="Y145" s="914"/>
      <c r="Z145" s="914"/>
      <c r="AA145" s="914"/>
      <c r="AB145" s="915"/>
      <c r="AC145" s="902">
        <f t="shared" si="54"/>
        <v>0</v>
      </c>
    </row>
    <row r="146" spans="1:50" s="903" customFormat="1" ht="34.5" customHeight="1">
      <c r="A146" s="957" t="s">
        <v>1339</v>
      </c>
      <c r="B146" s="896" t="s">
        <v>1613</v>
      </c>
      <c r="C146" s="1038"/>
      <c r="D146" s="1034"/>
      <c r="E146" s="1034"/>
      <c r="F146" s="1034"/>
      <c r="G146" s="904"/>
      <c r="H146" s="1034"/>
      <c r="I146" s="1034"/>
      <c r="J146" s="1074">
        <f t="shared" ref="J146:AA146" si="108">+J147</f>
        <v>66550</v>
      </c>
      <c r="K146" s="1074">
        <f t="shared" si="108"/>
        <v>0</v>
      </c>
      <c r="L146" s="1074">
        <f t="shared" si="108"/>
        <v>0</v>
      </c>
      <c r="M146" s="1074">
        <f t="shared" si="108"/>
        <v>66550</v>
      </c>
      <c r="N146" s="1074">
        <f t="shared" si="108"/>
        <v>33000</v>
      </c>
      <c r="O146" s="1074">
        <f t="shared" si="108"/>
        <v>0</v>
      </c>
      <c r="P146" s="1074">
        <f t="shared" si="108"/>
        <v>0</v>
      </c>
      <c r="Q146" s="1074">
        <f t="shared" si="108"/>
        <v>33000</v>
      </c>
      <c r="R146" s="1074">
        <f t="shared" si="108"/>
        <v>33000</v>
      </c>
      <c r="S146" s="1074">
        <f t="shared" si="108"/>
        <v>0</v>
      </c>
      <c r="T146" s="1074">
        <f t="shared" si="108"/>
        <v>0</v>
      </c>
      <c r="U146" s="1074">
        <f t="shared" si="108"/>
        <v>33000</v>
      </c>
      <c r="V146" s="1074">
        <f t="shared" si="108"/>
        <v>33550</v>
      </c>
      <c r="W146" s="1074">
        <f t="shared" si="108"/>
        <v>33550</v>
      </c>
      <c r="X146" s="1074">
        <f t="shared" si="108"/>
        <v>0</v>
      </c>
      <c r="Y146" s="1074">
        <f t="shared" si="108"/>
        <v>0</v>
      </c>
      <c r="Z146" s="1074">
        <f t="shared" si="108"/>
        <v>33550</v>
      </c>
      <c r="AA146" s="1074">
        <f t="shared" si="108"/>
        <v>0</v>
      </c>
      <c r="AB146" s="1075"/>
      <c r="AC146" s="902">
        <f t="shared" si="54"/>
        <v>0</v>
      </c>
    </row>
    <row r="147" spans="1:50" s="911" customFormat="1" ht="34.5" customHeight="1">
      <c r="A147" s="1076" t="s">
        <v>1325</v>
      </c>
      <c r="B147" s="906" t="s">
        <v>38</v>
      </c>
      <c r="C147" s="1038"/>
      <c r="D147" s="1036"/>
      <c r="E147" s="1036"/>
      <c r="F147" s="1036"/>
      <c r="G147" s="937"/>
      <c r="H147" s="1036"/>
      <c r="I147" s="1036"/>
      <c r="J147" s="1007">
        <f t="shared" ref="J147:AA147" si="109">+J148+J149+J151</f>
        <v>66550</v>
      </c>
      <c r="K147" s="1007">
        <f t="shared" si="109"/>
        <v>0</v>
      </c>
      <c r="L147" s="1007">
        <f t="shared" si="109"/>
        <v>0</v>
      </c>
      <c r="M147" s="1007">
        <f t="shared" si="109"/>
        <v>66550</v>
      </c>
      <c r="N147" s="1007">
        <f t="shared" si="109"/>
        <v>33000</v>
      </c>
      <c r="O147" s="1007">
        <f t="shared" si="109"/>
        <v>0</v>
      </c>
      <c r="P147" s="1007">
        <f t="shared" si="109"/>
        <v>0</v>
      </c>
      <c r="Q147" s="1007">
        <f t="shared" si="109"/>
        <v>33000</v>
      </c>
      <c r="R147" s="1007">
        <f t="shared" si="109"/>
        <v>33000</v>
      </c>
      <c r="S147" s="1007">
        <f t="shared" si="109"/>
        <v>0</v>
      </c>
      <c r="T147" s="1007">
        <f t="shared" si="109"/>
        <v>0</v>
      </c>
      <c r="U147" s="1007">
        <f t="shared" si="109"/>
        <v>33000</v>
      </c>
      <c r="V147" s="1007">
        <f t="shared" si="109"/>
        <v>33550</v>
      </c>
      <c r="W147" s="1007">
        <f t="shared" si="109"/>
        <v>33550</v>
      </c>
      <c r="X147" s="1007">
        <f t="shared" si="109"/>
        <v>0</v>
      </c>
      <c r="Y147" s="1007">
        <f t="shared" si="109"/>
        <v>0</v>
      </c>
      <c r="Z147" s="1007">
        <f t="shared" si="109"/>
        <v>33550</v>
      </c>
      <c r="AA147" s="1007">
        <f t="shared" si="109"/>
        <v>0</v>
      </c>
      <c r="AB147" s="1007"/>
      <c r="AC147" s="902">
        <f t="shared" si="54"/>
        <v>0</v>
      </c>
    </row>
    <row r="148" spans="1:50" s="951" customFormat="1" ht="31.5" customHeight="1">
      <c r="A148" s="1044" t="s">
        <v>39</v>
      </c>
      <c r="B148" s="913" t="s">
        <v>1254</v>
      </c>
      <c r="C148" s="1038"/>
      <c r="D148" s="948"/>
      <c r="E148" s="948"/>
      <c r="F148" s="948"/>
      <c r="G148" s="948"/>
      <c r="H148" s="948"/>
      <c r="I148" s="948"/>
      <c r="J148" s="1049"/>
      <c r="K148" s="1049"/>
      <c r="L148" s="1049"/>
      <c r="M148" s="1049"/>
      <c r="N148" s="1049"/>
      <c r="O148" s="1049"/>
      <c r="P148" s="1049"/>
      <c r="Q148" s="1049"/>
      <c r="R148" s="1049"/>
      <c r="S148" s="1049"/>
      <c r="T148" s="1049"/>
      <c r="U148" s="1049"/>
      <c r="V148" s="1049"/>
      <c r="W148" s="1049"/>
      <c r="X148" s="1049"/>
      <c r="Y148" s="1049"/>
      <c r="Z148" s="1049"/>
      <c r="AA148" s="1049"/>
      <c r="AB148" s="1049"/>
      <c r="AC148" s="902">
        <f t="shared" si="54"/>
        <v>0</v>
      </c>
    </row>
    <row r="149" spans="1:50" s="911" customFormat="1" ht="49.5" customHeight="1">
      <c r="A149" s="1081" t="s">
        <v>467</v>
      </c>
      <c r="B149" s="1082" t="s">
        <v>56</v>
      </c>
      <c r="C149" s="1083"/>
      <c r="D149" s="1084"/>
      <c r="E149" s="1084"/>
      <c r="F149" s="1084"/>
      <c r="G149" s="1085"/>
      <c r="H149" s="1084"/>
      <c r="I149" s="1084"/>
      <c r="J149" s="1086">
        <f>+J150</f>
        <v>66550</v>
      </c>
      <c r="K149" s="1086">
        <f t="shared" ref="K149:AA149" si="110">+K150</f>
        <v>0</v>
      </c>
      <c r="L149" s="1086">
        <f t="shared" si="110"/>
        <v>0</v>
      </c>
      <c r="M149" s="1086">
        <f t="shared" si="110"/>
        <v>66550</v>
      </c>
      <c r="N149" s="1086">
        <f t="shared" si="110"/>
        <v>33000</v>
      </c>
      <c r="O149" s="1086">
        <f t="shared" si="110"/>
        <v>0</v>
      </c>
      <c r="P149" s="1086">
        <f t="shared" si="110"/>
        <v>0</v>
      </c>
      <c r="Q149" s="1086">
        <f t="shared" si="110"/>
        <v>33000</v>
      </c>
      <c r="R149" s="1086">
        <f t="shared" si="110"/>
        <v>33000</v>
      </c>
      <c r="S149" s="1086">
        <f t="shared" si="110"/>
        <v>0</v>
      </c>
      <c r="T149" s="1086">
        <f t="shared" si="110"/>
        <v>0</v>
      </c>
      <c r="U149" s="1086">
        <f t="shared" si="110"/>
        <v>33000</v>
      </c>
      <c r="V149" s="1086">
        <f t="shared" si="110"/>
        <v>33550</v>
      </c>
      <c r="W149" s="1086">
        <f t="shared" si="110"/>
        <v>33550</v>
      </c>
      <c r="X149" s="1086">
        <f t="shared" si="110"/>
        <v>0</v>
      </c>
      <c r="Y149" s="1086">
        <f t="shared" si="110"/>
        <v>0</v>
      </c>
      <c r="Z149" s="1086">
        <f t="shared" si="110"/>
        <v>33550</v>
      </c>
      <c r="AA149" s="1086">
        <f t="shared" si="110"/>
        <v>0</v>
      </c>
      <c r="AB149" s="1087"/>
      <c r="AC149" s="902">
        <f t="shared" ref="AC149:AC212" si="111">+W149-X149-Y149-Z149</f>
        <v>0</v>
      </c>
      <c r="AJ149" s="903"/>
    </row>
    <row r="150" spans="1:50" s="10" customFormat="1" ht="73.5" customHeight="1">
      <c r="A150" s="430" t="s">
        <v>144</v>
      </c>
      <c r="B150" s="341" t="s">
        <v>1834</v>
      </c>
      <c r="C150" s="1038"/>
      <c r="D150" s="1034"/>
      <c r="E150" s="1034"/>
      <c r="F150" s="498"/>
      <c r="G150" s="13"/>
      <c r="H150" s="342" t="s">
        <v>240</v>
      </c>
      <c r="I150" s="343" t="s">
        <v>1835</v>
      </c>
      <c r="J150" s="344">
        <v>66550</v>
      </c>
      <c r="K150" s="12"/>
      <c r="L150" s="12"/>
      <c r="M150" s="344">
        <v>66550</v>
      </c>
      <c r="N150" s="344">
        <v>33000</v>
      </c>
      <c r="O150" s="12"/>
      <c r="P150" s="12"/>
      <c r="Q150" s="344">
        <v>33000</v>
      </c>
      <c r="R150" s="344">
        <v>33000</v>
      </c>
      <c r="S150" s="12"/>
      <c r="T150" s="12"/>
      <c r="U150" s="344">
        <v>33000</v>
      </c>
      <c r="V150" s="344">
        <v>33550</v>
      </c>
      <c r="W150" s="344">
        <v>33550</v>
      </c>
      <c r="X150" s="344"/>
      <c r="Y150" s="12"/>
      <c r="Z150" s="344">
        <v>33550</v>
      </c>
      <c r="AA150" s="12"/>
      <c r="AB150" s="91" t="s">
        <v>1622</v>
      </c>
      <c r="AC150" s="380">
        <f t="shared" si="111"/>
        <v>0</v>
      </c>
      <c r="AI150" s="911"/>
      <c r="AJ150" s="925" t="s">
        <v>685</v>
      </c>
      <c r="AK150" s="911"/>
      <c r="AL150" s="911"/>
      <c r="AM150" s="911"/>
      <c r="AN150" s="911"/>
      <c r="AO150" s="911"/>
      <c r="AP150" s="911"/>
      <c r="AQ150" s="911"/>
      <c r="AR150" s="911"/>
      <c r="AS150" s="911"/>
      <c r="AT150" s="911"/>
      <c r="AU150" s="911"/>
      <c r="AV150" s="911"/>
      <c r="AW150" s="911"/>
      <c r="AX150" s="911"/>
    </row>
    <row r="151" spans="1:50" s="942" customFormat="1" ht="45.75" customHeight="1">
      <c r="A151" s="1088" t="s">
        <v>1306</v>
      </c>
      <c r="B151" s="1089" t="s">
        <v>1314</v>
      </c>
      <c r="C151" s="1090"/>
      <c r="D151" s="1089"/>
      <c r="E151" s="1089"/>
      <c r="F151" s="1089"/>
      <c r="G151" s="1089"/>
      <c r="H151" s="1089"/>
      <c r="I151" s="1088"/>
      <c r="J151" s="1091"/>
      <c r="K151" s="1091"/>
      <c r="L151" s="1091"/>
      <c r="M151" s="1091"/>
      <c r="N151" s="1091"/>
      <c r="O151" s="1091"/>
      <c r="P151" s="1091"/>
      <c r="Q151" s="1091"/>
      <c r="R151" s="1091"/>
      <c r="S151" s="1091"/>
      <c r="T151" s="1091"/>
      <c r="U151" s="1091"/>
      <c r="V151" s="1091"/>
      <c r="W151" s="1091"/>
      <c r="X151" s="1091"/>
      <c r="Y151" s="1091"/>
      <c r="Z151" s="1091"/>
      <c r="AA151" s="1091"/>
      <c r="AB151" s="1092"/>
      <c r="AC151" s="902">
        <f t="shared" si="111"/>
        <v>0</v>
      </c>
    </row>
    <row r="152" spans="1:50" s="501" customFormat="1" ht="51.75" customHeight="1">
      <c r="A152" s="389" t="s">
        <v>42</v>
      </c>
      <c r="B152" s="441" t="s">
        <v>1283</v>
      </c>
      <c r="C152" s="320"/>
      <c r="D152" s="475"/>
      <c r="E152" s="475"/>
      <c r="F152" s="475"/>
      <c r="G152" s="475"/>
      <c r="H152" s="475"/>
      <c r="I152" s="389"/>
      <c r="J152" s="499">
        <f t="shared" ref="J152:Y153" si="112">+J153</f>
        <v>594093</v>
      </c>
      <c r="K152" s="499">
        <f t="shared" si="112"/>
        <v>0</v>
      </c>
      <c r="L152" s="499">
        <f t="shared" si="112"/>
        <v>437903</v>
      </c>
      <c r="M152" s="499">
        <f t="shared" si="112"/>
        <v>156190</v>
      </c>
      <c r="N152" s="499">
        <f t="shared" si="112"/>
        <v>0</v>
      </c>
      <c r="O152" s="499">
        <f t="shared" si="112"/>
        <v>0</v>
      </c>
      <c r="P152" s="499">
        <f t="shared" si="112"/>
        <v>0</v>
      </c>
      <c r="Q152" s="499">
        <f t="shared" si="112"/>
        <v>0</v>
      </c>
      <c r="R152" s="499">
        <f t="shared" si="112"/>
        <v>0</v>
      </c>
      <c r="S152" s="499">
        <f t="shared" si="112"/>
        <v>0</v>
      </c>
      <c r="T152" s="499">
        <f t="shared" si="112"/>
        <v>0</v>
      </c>
      <c r="U152" s="499">
        <f t="shared" si="112"/>
        <v>0</v>
      </c>
      <c r="V152" s="499">
        <f t="shared" si="112"/>
        <v>156190</v>
      </c>
      <c r="W152" s="499">
        <f t="shared" si="112"/>
        <v>156189.6</v>
      </c>
      <c r="X152" s="499">
        <f t="shared" si="112"/>
        <v>0</v>
      </c>
      <c r="Y152" s="499">
        <f t="shared" si="112"/>
        <v>137699.6</v>
      </c>
      <c r="Z152" s="499">
        <f t="shared" ref="Z152:AA152" si="113">+Z153</f>
        <v>18490</v>
      </c>
      <c r="AA152" s="499">
        <f t="shared" si="113"/>
        <v>0</v>
      </c>
      <c r="AB152" s="500"/>
      <c r="AC152" s="380">
        <f t="shared" si="111"/>
        <v>0</v>
      </c>
    </row>
    <row r="153" spans="1:50" s="501" customFormat="1" ht="30.75" customHeight="1">
      <c r="A153" s="389">
        <v>1</v>
      </c>
      <c r="B153" s="475" t="s">
        <v>681</v>
      </c>
      <c r="C153" s="33" t="s">
        <v>681</v>
      </c>
      <c r="D153" s="475"/>
      <c r="E153" s="475"/>
      <c r="F153" s="475"/>
      <c r="G153" s="475"/>
      <c r="H153" s="475"/>
      <c r="I153" s="389"/>
      <c r="J153" s="499">
        <f t="shared" si="112"/>
        <v>594093</v>
      </c>
      <c r="K153" s="499">
        <f t="shared" si="112"/>
        <v>0</v>
      </c>
      <c r="L153" s="499">
        <f t="shared" si="112"/>
        <v>437903</v>
      </c>
      <c r="M153" s="499">
        <f t="shared" si="112"/>
        <v>156190</v>
      </c>
      <c r="N153" s="499">
        <f t="shared" si="112"/>
        <v>0</v>
      </c>
      <c r="O153" s="499">
        <f t="shared" si="112"/>
        <v>0</v>
      </c>
      <c r="P153" s="499">
        <f t="shared" si="112"/>
        <v>0</v>
      </c>
      <c r="Q153" s="499">
        <f t="shared" si="112"/>
        <v>0</v>
      </c>
      <c r="R153" s="499">
        <f t="shared" si="112"/>
        <v>0</v>
      </c>
      <c r="S153" s="499">
        <f t="shared" si="112"/>
        <v>0</v>
      </c>
      <c r="T153" s="499">
        <f t="shared" si="112"/>
        <v>0</v>
      </c>
      <c r="U153" s="499">
        <f t="shared" si="112"/>
        <v>0</v>
      </c>
      <c r="V153" s="499">
        <f t="shared" si="112"/>
        <v>156190</v>
      </c>
      <c r="W153" s="499">
        <f t="shared" si="112"/>
        <v>156189.6</v>
      </c>
      <c r="X153" s="499">
        <f t="shared" si="112"/>
        <v>0</v>
      </c>
      <c r="Y153" s="499">
        <f t="shared" si="112"/>
        <v>137699.6</v>
      </c>
      <c r="Z153" s="499">
        <f t="shared" ref="Z153:AA153" si="114">+Z154</f>
        <v>18490</v>
      </c>
      <c r="AA153" s="499">
        <f t="shared" si="114"/>
        <v>0</v>
      </c>
      <c r="AB153" s="502"/>
      <c r="AC153" s="380">
        <f t="shared" si="111"/>
        <v>0</v>
      </c>
    </row>
    <row r="154" spans="1:50" s="422" customFormat="1" ht="23.25" customHeight="1">
      <c r="A154" s="495" t="s">
        <v>1305</v>
      </c>
      <c r="B154" s="503" t="s">
        <v>38</v>
      </c>
      <c r="C154" s="33" t="s">
        <v>681</v>
      </c>
      <c r="D154" s="421"/>
      <c r="E154" s="421"/>
      <c r="F154" s="504"/>
      <c r="G154" s="421"/>
      <c r="H154" s="418"/>
      <c r="I154" s="504"/>
      <c r="J154" s="505">
        <f>J155+J156+J158</f>
        <v>594093</v>
      </c>
      <c r="K154" s="505">
        <f t="shared" ref="K154:AA154" si="115">K155+K156+K158</f>
        <v>0</v>
      </c>
      <c r="L154" s="505">
        <f t="shared" si="115"/>
        <v>437903</v>
      </c>
      <c r="M154" s="505">
        <f t="shared" si="115"/>
        <v>156190</v>
      </c>
      <c r="N154" s="505">
        <f t="shared" si="115"/>
        <v>0</v>
      </c>
      <c r="O154" s="505">
        <f t="shared" si="115"/>
        <v>0</v>
      </c>
      <c r="P154" s="505">
        <f t="shared" si="115"/>
        <v>0</v>
      </c>
      <c r="Q154" s="505">
        <f t="shared" si="115"/>
        <v>0</v>
      </c>
      <c r="R154" s="505">
        <f t="shared" si="115"/>
        <v>0</v>
      </c>
      <c r="S154" s="505">
        <f t="shared" si="115"/>
        <v>0</v>
      </c>
      <c r="T154" s="505">
        <f t="shared" si="115"/>
        <v>0</v>
      </c>
      <c r="U154" s="505">
        <f t="shared" si="115"/>
        <v>0</v>
      </c>
      <c r="V154" s="505">
        <f t="shared" si="115"/>
        <v>156190</v>
      </c>
      <c r="W154" s="505">
        <f t="shared" si="115"/>
        <v>156189.6</v>
      </c>
      <c r="X154" s="505">
        <f t="shared" si="115"/>
        <v>0</v>
      </c>
      <c r="Y154" s="505">
        <f t="shared" si="115"/>
        <v>137699.6</v>
      </c>
      <c r="Z154" s="505">
        <f t="shared" si="115"/>
        <v>18490</v>
      </c>
      <c r="AA154" s="505">
        <f t="shared" si="115"/>
        <v>0</v>
      </c>
      <c r="AB154" s="506"/>
      <c r="AC154" s="380">
        <f t="shared" si="111"/>
        <v>0</v>
      </c>
    </row>
    <row r="155" spans="1:50" s="422" customFormat="1" ht="31.5" customHeight="1">
      <c r="A155" s="479" t="s">
        <v>39</v>
      </c>
      <c r="B155" s="326" t="s">
        <v>1254</v>
      </c>
      <c r="C155" s="33" t="s">
        <v>681</v>
      </c>
      <c r="D155" s="421"/>
      <c r="E155" s="421"/>
      <c r="F155" s="421"/>
      <c r="G155" s="421"/>
      <c r="H155" s="421"/>
      <c r="I155" s="421"/>
      <c r="J155" s="483"/>
      <c r="K155" s="483"/>
      <c r="L155" s="483"/>
      <c r="M155" s="483"/>
      <c r="N155" s="483"/>
      <c r="O155" s="483"/>
      <c r="P155" s="483"/>
      <c r="Q155" s="483"/>
      <c r="R155" s="483"/>
      <c r="S155" s="483"/>
      <c r="T155" s="483"/>
      <c r="U155" s="483"/>
      <c r="V155" s="483"/>
      <c r="W155" s="483"/>
      <c r="X155" s="483"/>
      <c r="Y155" s="483"/>
      <c r="Z155" s="483"/>
      <c r="AA155" s="483"/>
      <c r="AB155" s="484"/>
      <c r="AC155" s="380">
        <f t="shared" si="111"/>
        <v>0</v>
      </c>
    </row>
    <row r="156" spans="1:50" s="10" customFormat="1" ht="49.5" customHeight="1">
      <c r="A156" s="398" t="s">
        <v>467</v>
      </c>
      <c r="B156" s="326" t="s">
        <v>56</v>
      </c>
      <c r="C156" s="33" t="s">
        <v>681</v>
      </c>
      <c r="D156" s="473"/>
      <c r="E156" s="473"/>
      <c r="F156" s="473"/>
      <c r="G156" s="328"/>
      <c r="H156" s="473"/>
      <c r="I156" s="473"/>
      <c r="J156" s="436">
        <f t="shared" ref="J156:AA156" si="116">+J157</f>
        <v>594093</v>
      </c>
      <c r="K156" s="436">
        <f t="shared" si="116"/>
        <v>0</v>
      </c>
      <c r="L156" s="436">
        <f t="shared" si="116"/>
        <v>437903</v>
      </c>
      <c r="M156" s="436">
        <f t="shared" si="116"/>
        <v>156190</v>
      </c>
      <c r="N156" s="436">
        <f t="shared" si="116"/>
        <v>0</v>
      </c>
      <c r="O156" s="436">
        <f t="shared" si="116"/>
        <v>0</v>
      </c>
      <c r="P156" s="436">
        <f t="shared" si="116"/>
        <v>0</v>
      </c>
      <c r="Q156" s="436">
        <f t="shared" si="116"/>
        <v>0</v>
      </c>
      <c r="R156" s="436">
        <f t="shared" si="116"/>
        <v>0</v>
      </c>
      <c r="S156" s="436">
        <f t="shared" si="116"/>
        <v>0</v>
      </c>
      <c r="T156" s="436">
        <f t="shared" si="116"/>
        <v>0</v>
      </c>
      <c r="U156" s="436">
        <f t="shared" si="116"/>
        <v>0</v>
      </c>
      <c r="V156" s="436">
        <f t="shared" si="116"/>
        <v>156190</v>
      </c>
      <c r="W156" s="436">
        <f t="shared" si="116"/>
        <v>156189.6</v>
      </c>
      <c r="X156" s="436">
        <f t="shared" si="116"/>
        <v>0</v>
      </c>
      <c r="Y156" s="436">
        <f t="shared" si="116"/>
        <v>137699.6</v>
      </c>
      <c r="Z156" s="436">
        <f t="shared" si="116"/>
        <v>18490</v>
      </c>
      <c r="AA156" s="436">
        <f t="shared" si="116"/>
        <v>0</v>
      </c>
      <c r="AB156" s="437"/>
      <c r="AC156" s="380">
        <f t="shared" si="111"/>
        <v>0</v>
      </c>
    </row>
    <row r="157" spans="1:50" s="7" customFormat="1" ht="45" customHeight="1">
      <c r="A157" s="32" t="s">
        <v>144</v>
      </c>
      <c r="B157" s="27" t="s">
        <v>1273</v>
      </c>
      <c r="C157" s="33" t="s">
        <v>681</v>
      </c>
      <c r="D157" s="33"/>
      <c r="E157" s="33"/>
      <c r="F157" s="33"/>
      <c r="G157" s="313" t="s">
        <v>197</v>
      </c>
      <c r="H157" s="313" t="s">
        <v>136</v>
      </c>
      <c r="I157" s="313"/>
      <c r="J157" s="399">
        <f>+K157+L157+M157</f>
        <v>594093</v>
      </c>
      <c r="K157" s="399"/>
      <c r="L157" s="399">
        <f>437903</f>
        <v>437903</v>
      </c>
      <c r="M157" s="399">
        <v>156190</v>
      </c>
      <c r="N157" s="399"/>
      <c r="O157" s="399"/>
      <c r="P157" s="399"/>
      <c r="Q157" s="399"/>
      <c r="R157" s="399"/>
      <c r="S157" s="399"/>
      <c r="T157" s="399"/>
      <c r="U157" s="399"/>
      <c r="V157" s="399">
        <v>156190</v>
      </c>
      <c r="W157" s="399">
        <f>SUM(X157:AA157)</f>
        <v>156189.6</v>
      </c>
      <c r="X157" s="399"/>
      <c r="Y157" s="399">
        <v>137699.6</v>
      </c>
      <c r="Z157" s="399">
        <v>18490</v>
      </c>
      <c r="AA157" s="399"/>
      <c r="AB157" s="21" t="s">
        <v>1639</v>
      </c>
      <c r="AC157" s="380">
        <f t="shared" si="111"/>
        <v>0</v>
      </c>
      <c r="AJ157" s="338" t="s">
        <v>685</v>
      </c>
    </row>
    <row r="158" spans="1:50" s="417" customFormat="1" ht="30.75" customHeight="1">
      <c r="A158" s="327" t="s">
        <v>1306</v>
      </c>
      <c r="B158" s="413" t="s">
        <v>1307</v>
      </c>
      <c r="C158" s="33" t="s">
        <v>681</v>
      </c>
      <c r="D158" s="494"/>
      <c r="E158" s="494"/>
      <c r="F158" s="494"/>
      <c r="G158" s="494"/>
      <c r="H158" s="494"/>
      <c r="I158" s="327"/>
      <c r="J158" s="331"/>
      <c r="K158" s="331"/>
      <c r="L158" s="331"/>
      <c r="M158" s="331"/>
      <c r="N158" s="331"/>
      <c r="O158" s="331"/>
      <c r="P158" s="331"/>
      <c r="Q158" s="331"/>
      <c r="R158" s="331"/>
      <c r="S158" s="331"/>
      <c r="T158" s="331"/>
      <c r="U158" s="331"/>
      <c r="V158" s="331"/>
      <c r="W158" s="331"/>
      <c r="X158" s="331"/>
      <c r="Y158" s="331"/>
      <c r="Z158" s="331"/>
      <c r="AA158" s="331"/>
      <c r="AB158" s="332"/>
      <c r="AC158" s="380">
        <f t="shared" si="111"/>
        <v>0</v>
      </c>
    </row>
    <row r="159" spans="1:50" s="231" customFormat="1" ht="21" customHeight="1">
      <c r="A159" s="389" t="s">
        <v>43</v>
      </c>
      <c r="B159" s="475" t="s">
        <v>665</v>
      </c>
      <c r="C159" s="389"/>
      <c r="D159" s="451"/>
      <c r="E159" s="451"/>
      <c r="F159" s="451"/>
      <c r="G159" s="451"/>
      <c r="H159" s="451"/>
      <c r="I159" s="452"/>
      <c r="J159" s="507">
        <f t="shared" ref="J159:Y160" si="117">+J160</f>
        <v>41912</v>
      </c>
      <c r="K159" s="507">
        <f t="shared" si="117"/>
        <v>0</v>
      </c>
      <c r="L159" s="507">
        <f t="shared" si="117"/>
        <v>0</v>
      </c>
      <c r="M159" s="507">
        <f t="shared" si="117"/>
        <v>41912</v>
      </c>
      <c r="N159" s="507">
        <f t="shared" si="117"/>
        <v>19911</v>
      </c>
      <c r="O159" s="507">
        <f t="shared" si="117"/>
        <v>0</v>
      </c>
      <c r="P159" s="507">
        <f t="shared" si="117"/>
        <v>0</v>
      </c>
      <c r="Q159" s="507">
        <f t="shared" si="117"/>
        <v>19911</v>
      </c>
      <c r="R159" s="507">
        <f t="shared" si="117"/>
        <v>19911</v>
      </c>
      <c r="S159" s="507">
        <f t="shared" si="117"/>
        <v>0</v>
      </c>
      <c r="T159" s="507">
        <f t="shared" si="117"/>
        <v>0</v>
      </c>
      <c r="U159" s="507">
        <f t="shared" si="117"/>
        <v>19911</v>
      </c>
      <c r="V159" s="507">
        <f t="shared" si="117"/>
        <v>22001</v>
      </c>
      <c r="W159" s="507">
        <f t="shared" si="117"/>
        <v>22001</v>
      </c>
      <c r="X159" s="507">
        <f t="shared" si="117"/>
        <v>22001</v>
      </c>
      <c r="Y159" s="507">
        <f t="shared" si="117"/>
        <v>0</v>
      </c>
      <c r="Z159" s="507">
        <f t="shared" ref="Z159:AA159" si="118">+Z160</f>
        <v>0</v>
      </c>
      <c r="AA159" s="507">
        <f t="shared" si="118"/>
        <v>0</v>
      </c>
      <c r="AB159" s="502"/>
      <c r="AC159" s="380">
        <f t="shared" si="111"/>
        <v>0</v>
      </c>
    </row>
    <row r="160" spans="1:50" s="501" customFormat="1" ht="32.25" customHeight="1">
      <c r="A160" s="389">
        <v>1</v>
      </c>
      <c r="B160" s="475" t="s">
        <v>666</v>
      </c>
      <c r="C160" s="33" t="s">
        <v>666</v>
      </c>
      <c r="D160" s="475"/>
      <c r="E160" s="475"/>
      <c r="F160" s="475"/>
      <c r="G160" s="475"/>
      <c r="H160" s="475"/>
      <c r="I160" s="389"/>
      <c r="J160" s="499">
        <f t="shared" si="117"/>
        <v>41912</v>
      </c>
      <c r="K160" s="499">
        <f t="shared" si="117"/>
        <v>0</v>
      </c>
      <c r="L160" s="499">
        <f t="shared" si="117"/>
        <v>0</v>
      </c>
      <c r="M160" s="499">
        <f t="shared" si="117"/>
        <v>41912</v>
      </c>
      <c r="N160" s="499">
        <f t="shared" si="117"/>
        <v>19911</v>
      </c>
      <c r="O160" s="499">
        <f t="shared" si="117"/>
        <v>0</v>
      </c>
      <c r="P160" s="499">
        <f t="shared" si="117"/>
        <v>0</v>
      </c>
      <c r="Q160" s="499">
        <f t="shared" si="117"/>
        <v>19911</v>
      </c>
      <c r="R160" s="499">
        <f t="shared" si="117"/>
        <v>19911</v>
      </c>
      <c r="S160" s="499">
        <f t="shared" si="117"/>
        <v>0</v>
      </c>
      <c r="T160" s="499">
        <f t="shared" si="117"/>
        <v>0</v>
      </c>
      <c r="U160" s="499">
        <f t="shared" si="117"/>
        <v>19911</v>
      </c>
      <c r="V160" s="499">
        <f t="shared" si="117"/>
        <v>22001</v>
      </c>
      <c r="W160" s="499">
        <f t="shared" si="117"/>
        <v>22001</v>
      </c>
      <c r="X160" s="499">
        <f t="shared" si="117"/>
        <v>22001</v>
      </c>
      <c r="Y160" s="499">
        <f t="shared" si="117"/>
        <v>0</v>
      </c>
      <c r="Z160" s="499">
        <f t="shared" ref="Z160:AA160" si="119">+Z161</f>
        <v>0</v>
      </c>
      <c r="AA160" s="499">
        <f t="shared" si="119"/>
        <v>0</v>
      </c>
      <c r="AB160" s="502"/>
      <c r="AC160" s="380">
        <f t="shared" si="111"/>
        <v>0</v>
      </c>
    </row>
    <row r="161" spans="1:36" s="422" customFormat="1" ht="23.25" customHeight="1">
      <c r="A161" s="495" t="s">
        <v>1305</v>
      </c>
      <c r="B161" s="503" t="s">
        <v>38</v>
      </c>
      <c r="C161" s="33" t="s">
        <v>666</v>
      </c>
      <c r="D161" s="421"/>
      <c r="E161" s="421"/>
      <c r="F161" s="504"/>
      <c r="G161" s="421"/>
      <c r="H161" s="418"/>
      <c r="I161" s="504"/>
      <c r="J161" s="505">
        <f>+J163+J165+J162</f>
        <v>41912</v>
      </c>
      <c r="K161" s="505">
        <f t="shared" ref="K161:AA161" si="120">+K163+K165+K162</f>
        <v>0</v>
      </c>
      <c r="L161" s="505">
        <f t="shared" si="120"/>
        <v>0</v>
      </c>
      <c r="M161" s="505">
        <f t="shared" si="120"/>
        <v>41912</v>
      </c>
      <c r="N161" s="505">
        <f t="shared" si="120"/>
        <v>19911</v>
      </c>
      <c r="O161" s="505">
        <f t="shared" si="120"/>
        <v>0</v>
      </c>
      <c r="P161" s="505">
        <f t="shared" si="120"/>
        <v>0</v>
      </c>
      <c r="Q161" s="505">
        <f t="shared" si="120"/>
        <v>19911</v>
      </c>
      <c r="R161" s="505">
        <f t="shared" si="120"/>
        <v>19911</v>
      </c>
      <c r="S161" s="505">
        <f t="shared" si="120"/>
        <v>0</v>
      </c>
      <c r="T161" s="505">
        <f t="shared" si="120"/>
        <v>0</v>
      </c>
      <c r="U161" s="505">
        <f t="shared" si="120"/>
        <v>19911</v>
      </c>
      <c r="V161" s="505">
        <f t="shared" si="120"/>
        <v>22001</v>
      </c>
      <c r="W161" s="505">
        <f t="shared" si="120"/>
        <v>22001</v>
      </c>
      <c r="X161" s="505">
        <f t="shared" si="120"/>
        <v>22001</v>
      </c>
      <c r="Y161" s="505">
        <f t="shared" si="120"/>
        <v>0</v>
      </c>
      <c r="Z161" s="505">
        <f t="shared" si="120"/>
        <v>0</v>
      </c>
      <c r="AA161" s="505">
        <f t="shared" si="120"/>
        <v>0</v>
      </c>
      <c r="AB161" s="506"/>
      <c r="AC161" s="380">
        <f t="shared" si="111"/>
        <v>0</v>
      </c>
    </row>
    <row r="162" spans="1:36" s="422" customFormat="1" ht="31.5" customHeight="1">
      <c r="A162" s="479" t="s">
        <v>39</v>
      </c>
      <c r="B162" s="326" t="s">
        <v>1254</v>
      </c>
      <c r="C162" s="33" t="s">
        <v>666</v>
      </c>
      <c r="D162" s="421"/>
      <c r="E162" s="421"/>
      <c r="F162" s="421"/>
      <c r="G162" s="421"/>
      <c r="H162" s="421"/>
      <c r="I162" s="421"/>
      <c r="J162" s="483"/>
      <c r="K162" s="483"/>
      <c r="L162" s="483"/>
      <c r="M162" s="483"/>
      <c r="N162" s="483"/>
      <c r="O162" s="483"/>
      <c r="P162" s="483"/>
      <c r="Q162" s="483"/>
      <c r="R162" s="483"/>
      <c r="S162" s="483"/>
      <c r="T162" s="483"/>
      <c r="U162" s="483"/>
      <c r="V162" s="483"/>
      <c r="W162" s="483"/>
      <c r="X162" s="483"/>
      <c r="Y162" s="483"/>
      <c r="Z162" s="483"/>
      <c r="AA162" s="483"/>
      <c r="AB162" s="484"/>
      <c r="AC162" s="380">
        <f t="shared" si="111"/>
        <v>0</v>
      </c>
    </row>
    <row r="163" spans="1:36" s="10" customFormat="1" ht="50.25" customHeight="1">
      <c r="A163" s="397" t="s">
        <v>467</v>
      </c>
      <c r="B163" s="400" t="s">
        <v>183</v>
      </c>
      <c r="C163" s="33" t="s">
        <v>666</v>
      </c>
      <c r="D163" s="423"/>
      <c r="E163" s="423"/>
      <c r="F163" s="328"/>
      <c r="G163" s="328"/>
      <c r="H163" s="328"/>
      <c r="I163" s="328"/>
      <c r="J163" s="508">
        <f t="shared" ref="J163:AA163" si="121">+J164</f>
        <v>41912</v>
      </c>
      <c r="K163" s="508">
        <f t="shared" si="121"/>
        <v>0</v>
      </c>
      <c r="L163" s="508">
        <f t="shared" si="121"/>
        <v>0</v>
      </c>
      <c r="M163" s="508">
        <f t="shared" si="121"/>
        <v>41912</v>
      </c>
      <c r="N163" s="508">
        <f t="shared" si="121"/>
        <v>19911</v>
      </c>
      <c r="O163" s="508">
        <f t="shared" si="121"/>
        <v>0</v>
      </c>
      <c r="P163" s="508">
        <f t="shared" si="121"/>
        <v>0</v>
      </c>
      <c r="Q163" s="508">
        <f t="shared" si="121"/>
        <v>19911</v>
      </c>
      <c r="R163" s="508">
        <f t="shared" si="121"/>
        <v>19911</v>
      </c>
      <c r="S163" s="508">
        <f t="shared" si="121"/>
        <v>0</v>
      </c>
      <c r="T163" s="508">
        <f t="shared" si="121"/>
        <v>0</v>
      </c>
      <c r="U163" s="508">
        <f t="shared" si="121"/>
        <v>19911</v>
      </c>
      <c r="V163" s="508">
        <f t="shared" si="121"/>
        <v>22001</v>
      </c>
      <c r="W163" s="508">
        <f t="shared" si="121"/>
        <v>22001</v>
      </c>
      <c r="X163" s="508">
        <f t="shared" si="121"/>
        <v>22001</v>
      </c>
      <c r="Y163" s="508">
        <f t="shared" si="121"/>
        <v>0</v>
      </c>
      <c r="Z163" s="508">
        <f t="shared" si="121"/>
        <v>0</v>
      </c>
      <c r="AA163" s="508">
        <f t="shared" si="121"/>
        <v>0</v>
      </c>
      <c r="AB163" s="509"/>
      <c r="AC163" s="380">
        <f t="shared" si="111"/>
        <v>0</v>
      </c>
    </row>
    <row r="164" spans="1:36" s="417" customFormat="1" ht="54" customHeight="1">
      <c r="A164" s="32" t="s">
        <v>144</v>
      </c>
      <c r="B164" s="510" t="s">
        <v>669</v>
      </c>
      <c r="C164" s="33" t="s">
        <v>666</v>
      </c>
      <c r="D164" s="511">
        <v>9058616</v>
      </c>
      <c r="E164" s="511"/>
      <c r="F164" s="511" t="s">
        <v>436</v>
      </c>
      <c r="G164" s="313" t="s">
        <v>197</v>
      </c>
      <c r="H164" s="313" t="s">
        <v>136</v>
      </c>
      <c r="I164" s="512" t="s">
        <v>671</v>
      </c>
      <c r="J164" s="399">
        <v>41912</v>
      </c>
      <c r="K164" s="33"/>
      <c r="L164" s="33"/>
      <c r="M164" s="399">
        <v>41912</v>
      </c>
      <c r="N164" s="513">
        <v>19911</v>
      </c>
      <c r="O164" s="33"/>
      <c r="P164" s="33"/>
      <c r="Q164" s="513">
        <v>19911</v>
      </c>
      <c r="R164" s="513">
        <v>19911</v>
      </c>
      <c r="S164" s="508"/>
      <c r="T164" s="508"/>
      <c r="U164" s="513">
        <v>19911</v>
      </c>
      <c r="V164" s="514">
        <v>22001</v>
      </c>
      <c r="W164" s="514">
        <f>SUM(X164:AA164)</f>
        <v>22001</v>
      </c>
      <c r="X164" s="514">
        <v>22001</v>
      </c>
      <c r="Y164" s="514"/>
      <c r="Z164" s="514"/>
      <c r="AA164" s="514"/>
      <c r="AB164" s="515" t="s">
        <v>1622</v>
      </c>
      <c r="AC164" s="380">
        <f t="shared" si="111"/>
        <v>0</v>
      </c>
      <c r="AJ164" s="338" t="s">
        <v>685</v>
      </c>
    </row>
    <row r="165" spans="1:36" s="521" customFormat="1" ht="28.5" customHeight="1">
      <c r="A165" s="516" t="s">
        <v>1306</v>
      </c>
      <c r="B165" s="517" t="s">
        <v>1307</v>
      </c>
      <c r="C165" s="518" t="s">
        <v>666</v>
      </c>
      <c r="D165" s="518"/>
      <c r="E165" s="518"/>
      <c r="F165" s="518"/>
      <c r="G165" s="518"/>
      <c r="H165" s="518"/>
      <c r="I165" s="516"/>
      <c r="J165" s="519"/>
      <c r="K165" s="519"/>
      <c r="L165" s="519"/>
      <c r="M165" s="519"/>
      <c r="N165" s="519"/>
      <c r="O165" s="519"/>
      <c r="P165" s="519"/>
      <c r="Q165" s="519"/>
      <c r="R165" s="519"/>
      <c r="S165" s="519"/>
      <c r="T165" s="519"/>
      <c r="U165" s="519"/>
      <c r="V165" s="519"/>
      <c r="W165" s="519"/>
      <c r="X165" s="519"/>
      <c r="Y165" s="519"/>
      <c r="Z165" s="519"/>
      <c r="AA165" s="519"/>
      <c r="AB165" s="520"/>
      <c r="AC165" s="380">
        <f t="shared" si="111"/>
        <v>0</v>
      </c>
    </row>
    <row r="166" spans="1:36" s="8" customFormat="1" ht="37.5" customHeight="1">
      <c r="A166" s="389" t="s">
        <v>45</v>
      </c>
      <c r="B166" s="317" t="s">
        <v>492</v>
      </c>
      <c r="C166" s="320"/>
      <c r="D166" s="475"/>
      <c r="E166" s="475"/>
      <c r="F166" s="475"/>
      <c r="G166" s="475"/>
      <c r="H166" s="475"/>
      <c r="I166" s="389"/>
      <c r="J166" s="522">
        <f>+J167+J174+J180</f>
        <v>30657.073537</v>
      </c>
      <c r="K166" s="522">
        <f t="shared" ref="K166:AA166" si="122">+K167+K174+K180</f>
        <v>0</v>
      </c>
      <c r="L166" s="522">
        <f t="shared" si="122"/>
        <v>0</v>
      </c>
      <c r="M166" s="522">
        <f t="shared" si="122"/>
        <v>30657.073537</v>
      </c>
      <c r="N166" s="522">
        <f t="shared" si="122"/>
        <v>26435.54</v>
      </c>
      <c r="O166" s="522">
        <f t="shared" si="122"/>
        <v>0</v>
      </c>
      <c r="P166" s="522">
        <f t="shared" si="122"/>
        <v>0</v>
      </c>
      <c r="Q166" s="522">
        <f t="shared" si="122"/>
        <v>26435.54</v>
      </c>
      <c r="R166" s="522">
        <f t="shared" si="122"/>
        <v>26506.54</v>
      </c>
      <c r="S166" s="522">
        <f t="shared" si="122"/>
        <v>0</v>
      </c>
      <c r="T166" s="522">
        <f t="shared" si="122"/>
        <v>0</v>
      </c>
      <c r="U166" s="522">
        <f t="shared" si="122"/>
        <v>26506.54</v>
      </c>
      <c r="V166" s="522">
        <f t="shared" si="122"/>
        <v>610.99700000000007</v>
      </c>
      <c r="W166" s="522">
        <f t="shared" si="122"/>
        <v>611.39699999999993</v>
      </c>
      <c r="X166" s="522">
        <f t="shared" si="122"/>
        <v>539.99699999999996</v>
      </c>
      <c r="Y166" s="522">
        <f t="shared" si="122"/>
        <v>71.400000000000006</v>
      </c>
      <c r="Z166" s="522">
        <f t="shared" si="122"/>
        <v>0</v>
      </c>
      <c r="AA166" s="522">
        <f t="shared" si="122"/>
        <v>0</v>
      </c>
      <c r="AB166" s="523"/>
      <c r="AC166" s="380">
        <f t="shared" si="111"/>
        <v>-2.8421709430404007E-14</v>
      </c>
    </row>
    <row r="167" spans="1:36" s="501" customFormat="1" ht="42.75">
      <c r="A167" s="389">
        <v>1</v>
      </c>
      <c r="B167" s="524" t="s">
        <v>235</v>
      </c>
      <c r="C167" s="524" t="s">
        <v>235</v>
      </c>
      <c r="D167" s="475"/>
      <c r="E167" s="475"/>
      <c r="F167" s="475"/>
      <c r="G167" s="475"/>
      <c r="H167" s="475"/>
      <c r="I167" s="389"/>
      <c r="J167" s="391">
        <f>+J168</f>
        <v>22457.073537</v>
      </c>
      <c r="K167" s="391">
        <f t="shared" ref="K167:AA167" si="123">+K168</f>
        <v>0</v>
      </c>
      <c r="L167" s="391">
        <f t="shared" si="123"/>
        <v>0</v>
      </c>
      <c r="M167" s="391">
        <f t="shared" si="123"/>
        <v>22457.073537</v>
      </c>
      <c r="N167" s="391">
        <f t="shared" si="123"/>
        <v>19591</v>
      </c>
      <c r="O167" s="391">
        <f t="shared" si="123"/>
        <v>0</v>
      </c>
      <c r="P167" s="391">
        <f t="shared" si="123"/>
        <v>0</v>
      </c>
      <c r="Q167" s="391">
        <f t="shared" si="123"/>
        <v>19591</v>
      </c>
      <c r="R167" s="391">
        <f t="shared" si="123"/>
        <v>19662</v>
      </c>
      <c r="S167" s="391">
        <f t="shared" si="123"/>
        <v>0</v>
      </c>
      <c r="T167" s="391">
        <f t="shared" si="123"/>
        <v>0</v>
      </c>
      <c r="U167" s="391">
        <f t="shared" si="123"/>
        <v>19662</v>
      </c>
      <c r="V167" s="391">
        <f t="shared" si="123"/>
        <v>71</v>
      </c>
      <c r="W167" s="391">
        <f t="shared" si="123"/>
        <v>71.400000000000006</v>
      </c>
      <c r="X167" s="391">
        <f t="shared" si="123"/>
        <v>0</v>
      </c>
      <c r="Y167" s="391">
        <f t="shared" si="123"/>
        <v>71.400000000000006</v>
      </c>
      <c r="Z167" s="391">
        <f t="shared" si="123"/>
        <v>0</v>
      </c>
      <c r="AA167" s="391">
        <f t="shared" si="123"/>
        <v>0</v>
      </c>
      <c r="AB167" s="392"/>
      <c r="AC167" s="380">
        <f t="shared" si="111"/>
        <v>0</v>
      </c>
    </row>
    <row r="168" spans="1:36" s="422" customFormat="1" ht="45">
      <c r="A168" s="495" t="s">
        <v>1305</v>
      </c>
      <c r="B168" s="503" t="s">
        <v>38</v>
      </c>
      <c r="C168" s="111" t="s">
        <v>235</v>
      </c>
      <c r="D168" s="421"/>
      <c r="E168" s="421"/>
      <c r="F168" s="504"/>
      <c r="G168" s="421"/>
      <c r="H168" s="418"/>
      <c r="I168" s="504"/>
      <c r="J168" s="505">
        <f t="shared" ref="J168:AA168" si="124">+J169+J172+J173</f>
        <v>22457.073537</v>
      </c>
      <c r="K168" s="505">
        <f t="shared" si="124"/>
        <v>0</v>
      </c>
      <c r="L168" s="505">
        <f t="shared" si="124"/>
        <v>0</v>
      </c>
      <c r="M168" s="505">
        <f t="shared" si="124"/>
        <v>22457.073537</v>
      </c>
      <c r="N168" s="505">
        <f t="shared" si="124"/>
        <v>19591</v>
      </c>
      <c r="O168" s="505">
        <f t="shared" si="124"/>
        <v>0</v>
      </c>
      <c r="P168" s="505">
        <f t="shared" si="124"/>
        <v>0</v>
      </c>
      <c r="Q168" s="505">
        <f t="shared" si="124"/>
        <v>19591</v>
      </c>
      <c r="R168" s="505">
        <f t="shared" si="124"/>
        <v>19662</v>
      </c>
      <c r="S168" s="505">
        <f t="shared" si="124"/>
        <v>0</v>
      </c>
      <c r="T168" s="505">
        <f t="shared" si="124"/>
        <v>0</v>
      </c>
      <c r="U168" s="505">
        <f t="shared" si="124"/>
        <v>19662</v>
      </c>
      <c r="V168" s="505">
        <f t="shared" si="124"/>
        <v>71</v>
      </c>
      <c r="W168" s="505">
        <f t="shared" si="124"/>
        <v>71.400000000000006</v>
      </c>
      <c r="X168" s="505">
        <f t="shared" si="124"/>
        <v>0</v>
      </c>
      <c r="Y168" s="505">
        <f t="shared" si="124"/>
        <v>71.400000000000006</v>
      </c>
      <c r="Z168" s="505">
        <f t="shared" si="124"/>
        <v>0</v>
      </c>
      <c r="AA168" s="505">
        <f t="shared" si="124"/>
        <v>0</v>
      </c>
      <c r="AB168" s="506"/>
      <c r="AC168" s="380">
        <f t="shared" si="111"/>
        <v>0</v>
      </c>
    </row>
    <row r="169" spans="1:36" s="422" customFormat="1" ht="45">
      <c r="A169" s="479" t="s">
        <v>39</v>
      </c>
      <c r="B169" s="326" t="s">
        <v>1254</v>
      </c>
      <c r="C169" s="111" t="s">
        <v>235</v>
      </c>
      <c r="D169" s="421"/>
      <c r="E169" s="421"/>
      <c r="F169" s="421"/>
      <c r="G169" s="421"/>
      <c r="H169" s="421"/>
      <c r="I169" s="421"/>
      <c r="J169" s="483">
        <f>+SUM(J170:J171)</f>
        <v>22457.073537</v>
      </c>
      <c r="K169" s="483">
        <f t="shared" ref="K169:AA169" si="125">+SUM(K170:K171)</f>
        <v>0</v>
      </c>
      <c r="L169" s="483">
        <f t="shared" si="125"/>
        <v>0</v>
      </c>
      <c r="M169" s="483">
        <f t="shared" si="125"/>
        <v>22457.073537</v>
      </c>
      <c r="N169" s="483">
        <f t="shared" si="125"/>
        <v>19591</v>
      </c>
      <c r="O169" s="483">
        <f t="shared" si="125"/>
        <v>0</v>
      </c>
      <c r="P169" s="483">
        <f t="shared" si="125"/>
        <v>0</v>
      </c>
      <c r="Q169" s="483">
        <f t="shared" si="125"/>
        <v>19591</v>
      </c>
      <c r="R169" s="483">
        <f t="shared" si="125"/>
        <v>19662</v>
      </c>
      <c r="S169" s="483">
        <f t="shared" si="125"/>
        <v>0</v>
      </c>
      <c r="T169" s="483">
        <f t="shared" si="125"/>
        <v>0</v>
      </c>
      <c r="U169" s="483">
        <f t="shared" si="125"/>
        <v>19662</v>
      </c>
      <c r="V169" s="483">
        <f t="shared" si="125"/>
        <v>71</v>
      </c>
      <c r="W169" s="483">
        <f>+SUM(W170:W171)</f>
        <v>71.400000000000006</v>
      </c>
      <c r="X169" s="483">
        <f t="shared" si="125"/>
        <v>0</v>
      </c>
      <c r="Y169" s="483">
        <f t="shared" si="125"/>
        <v>71.400000000000006</v>
      </c>
      <c r="Z169" s="483">
        <f t="shared" si="125"/>
        <v>0</v>
      </c>
      <c r="AA169" s="483">
        <f t="shared" si="125"/>
        <v>0</v>
      </c>
      <c r="AB169" s="483">
        <f t="shared" ref="AB169" si="126">+SUM(AB170:AB171)</f>
        <v>0</v>
      </c>
      <c r="AC169" s="380">
        <f t="shared" si="111"/>
        <v>0</v>
      </c>
    </row>
    <row r="170" spans="1:36" s="8" customFormat="1" ht="49.5" customHeight="1">
      <c r="A170" s="32" t="s">
        <v>144</v>
      </c>
      <c r="B170" s="525" t="s">
        <v>493</v>
      </c>
      <c r="C170" s="111" t="s">
        <v>235</v>
      </c>
      <c r="D170" s="26" t="s">
        <v>494</v>
      </c>
      <c r="E170" s="32" t="s">
        <v>495</v>
      </c>
      <c r="F170" s="13" t="s">
        <v>496</v>
      </c>
      <c r="G170" s="313" t="s">
        <v>186</v>
      </c>
      <c r="H170" s="98" t="s">
        <v>476</v>
      </c>
      <c r="I170" s="98" t="s">
        <v>497</v>
      </c>
      <c r="J170" s="446">
        <v>9080.7700530000002</v>
      </c>
      <c r="K170" s="33"/>
      <c r="L170" s="33"/>
      <c r="M170" s="446">
        <v>9080.7700530000002</v>
      </c>
      <c r="N170" s="12">
        <f>O170+P170+Q170</f>
        <v>7841</v>
      </c>
      <c r="O170" s="33"/>
      <c r="P170" s="33"/>
      <c r="Q170" s="44">
        <f>5000+2880-39</f>
        <v>7841</v>
      </c>
      <c r="R170" s="12">
        <f>S170+T170+U170</f>
        <v>7880</v>
      </c>
      <c r="S170" s="33"/>
      <c r="T170" s="33"/>
      <c r="U170" s="44">
        <f>5000+2880</f>
        <v>7880</v>
      </c>
      <c r="V170" s="44">
        <v>39</v>
      </c>
      <c r="W170" s="44">
        <f>SUM(X170:AA170)</f>
        <v>39</v>
      </c>
      <c r="X170" s="44"/>
      <c r="Y170" s="44">
        <v>39</v>
      </c>
      <c r="Z170" s="44"/>
      <c r="AA170" s="44"/>
      <c r="AB170" s="408" t="s">
        <v>1308</v>
      </c>
      <c r="AC170" s="380">
        <f t="shared" si="111"/>
        <v>0</v>
      </c>
      <c r="AJ170" s="408" t="s">
        <v>1308</v>
      </c>
    </row>
    <row r="171" spans="1:36" s="8" customFormat="1" ht="105.75" customHeight="1">
      <c r="A171" s="32" t="s">
        <v>144</v>
      </c>
      <c r="B171" s="525" t="s">
        <v>498</v>
      </c>
      <c r="C171" s="111" t="s">
        <v>235</v>
      </c>
      <c r="D171" s="13">
        <v>8057936</v>
      </c>
      <c r="E171" s="32" t="s">
        <v>495</v>
      </c>
      <c r="F171" s="13" t="s">
        <v>496</v>
      </c>
      <c r="G171" s="313" t="s">
        <v>186</v>
      </c>
      <c r="H171" s="98" t="s">
        <v>476</v>
      </c>
      <c r="I171" s="98" t="s">
        <v>499</v>
      </c>
      <c r="J171" s="446">
        <v>13376.303484</v>
      </c>
      <c r="K171" s="33"/>
      <c r="L171" s="33"/>
      <c r="M171" s="446">
        <v>13376.303484</v>
      </c>
      <c r="N171" s="12">
        <f>O171+P171+Q171</f>
        <v>11750</v>
      </c>
      <c r="O171" s="33"/>
      <c r="P171" s="33"/>
      <c r="Q171" s="44">
        <f>1100+10682-32</f>
        <v>11750</v>
      </c>
      <c r="R171" s="12">
        <f>S171+T171+U171</f>
        <v>11782</v>
      </c>
      <c r="S171" s="33"/>
      <c r="T171" s="33"/>
      <c r="U171" s="44">
        <f>1100+10682</f>
        <v>11782</v>
      </c>
      <c r="V171" s="44">
        <v>32</v>
      </c>
      <c r="W171" s="44">
        <f>SUM(X171:AA171)</f>
        <v>32.4</v>
      </c>
      <c r="X171" s="44"/>
      <c r="Y171" s="44">
        <v>32.4</v>
      </c>
      <c r="Z171" s="44"/>
      <c r="AA171" s="44"/>
      <c r="AB171" s="408" t="s">
        <v>1308</v>
      </c>
      <c r="AC171" s="380">
        <f t="shared" si="111"/>
        <v>0</v>
      </c>
      <c r="AJ171" s="408" t="s">
        <v>1308</v>
      </c>
    </row>
    <row r="172" spans="1:36" s="417" customFormat="1" ht="47.25" customHeight="1">
      <c r="A172" s="327" t="s">
        <v>467</v>
      </c>
      <c r="B172" s="400" t="s">
        <v>183</v>
      </c>
      <c r="C172" s="111" t="s">
        <v>235</v>
      </c>
      <c r="D172" s="494"/>
      <c r="E172" s="494"/>
      <c r="F172" s="494"/>
      <c r="G172" s="494"/>
      <c r="H172" s="494"/>
      <c r="I172" s="327"/>
      <c r="J172" s="331"/>
      <c r="K172" s="331"/>
      <c r="L172" s="331"/>
      <c r="M172" s="331"/>
      <c r="N172" s="331"/>
      <c r="O172" s="331"/>
      <c r="P172" s="331"/>
      <c r="Q172" s="331"/>
      <c r="R172" s="331"/>
      <c r="S172" s="331"/>
      <c r="T172" s="331"/>
      <c r="U172" s="331"/>
      <c r="V172" s="331"/>
      <c r="W172" s="331"/>
      <c r="X172" s="331"/>
      <c r="Y172" s="331"/>
      <c r="Z172" s="331"/>
      <c r="AA172" s="331"/>
      <c r="AB172" s="332"/>
      <c r="AC172" s="380">
        <f t="shared" si="111"/>
        <v>0</v>
      </c>
    </row>
    <row r="173" spans="1:36" s="417" customFormat="1" ht="28.5" customHeight="1">
      <c r="A173" s="327" t="s">
        <v>1306</v>
      </c>
      <c r="B173" s="413" t="s">
        <v>1307</v>
      </c>
      <c r="C173" s="111" t="s">
        <v>235</v>
      </c>
      <c r="D173" s="494"/>
      <c r="E173" s="494"/>
      <c r="F173" s="494"/>
      <c r="G173" s="494"/>
      <c r="H173" s="494"/>
      <c r="I173" s="327"/>
      <c r="J173" s="331"/>
      <c r="K173" s="331"/>
      <c r="L173" s="331"/>
      <c r="M173" s="331"/>
      <c r="N173" s="331"/>
      <c r="O173" s="331"/>
      <c r="P173" s="331"/>
      <c r="Q173" s="331"/>
      <c r="R173" s="331"/>
      <c r="S173" s="331"/>
      <c r="T173" s="331"/>
      <c r="U173" s="331"/>
      <c r="V173" s="331"/>
      <c r="W173" s="331"/>
      <c r="X173" s="331"/>
      <c r="Y173" s="331"/>
      <c r="Z173" s="331"/>
      <c r="AA173" s="331"/>
      <c r="AB173" s="332"/>
      <c r="AC173" s="380">
        <f t="shared" si="111"/>
        <v>0</v>
      </c>
    </row>
    <row r="174" spans="1:36" s="501" customFormat="1" ht="39" customHeight="1">
      <c r="A174" s="320">
        <v>2</v>
      </c>
      <c r="B174" s="441" t="s">
        <v>1156</v>
      </c>
      <c r="C174" s="441" t="s">
        <v>1156</v>
      </c>
      <c r="D174" s="320"/>
      <c r="E174" s="320"/>
      <c r="F174" s="320"/>
      <c r="G174" s="320"/>
      <c r="H174" s="320"/>
      <c r="I174" s="441"/>
      <c r="J174" s="482">
        <f t="shared" ref="J174:AA174" si="127">+J175</f>
        <v>3000</v>
      </c>
      <c r="K174" s="482">
        <f t="shared" si="127"/>
        <v>0</v>
      </c>
      <c r="L174" s="482">
        <f t="shared" si="127"/>
        <v>0</v>
      </c>
      <c r="M174" s="482">
        <f t="shared" si="127"/>
        <v>3000</v>
      </c>
      <c r="N174" s="482">
        <f t="shared" si="127"/>
        <v>2765.54</v>
      </c>
      <c r="O174" s="482">
        <f t="shared" si="127"/>
        <v>0</v>
      </c>
      <c r="P174" s="482">
        <f t="shared" si="127"/>
        <v>0</v>
      </c>
      <c r="Q174" s="482">
        <f t="shared" si="127"/>
        <v>2765.54</v>
      </c>
      <c r="R174" s="482">
        <f t="shared" si="127"/>
        <v>2765.54</v>
      </c>
      <c r="S174" s="482">
        <f t="shared" si="127"/>
        <v>0</v>
      </c>
      <c r="T174" s="482">
        <f t="shared" si="127"/>
        <v>0</v>
      </c>
      <c r="U174" s="482">
        <f t="shared" si="127"/>
        <v>2765.54</v>
      </c>
      <c r="V174" s="482">
        <f t="shared" si="127"/>
        <v>99.997</v>
      </c>
      <c r="W174" s="482">
        <f t="shared" si="127"/>
        <v>99.997</v>
      </c>
      <c r="X174" s="482">
        <f t="shared" si="127"/>
        <v>99.997</v>
      </c>
      <c r="Y174" s="482">
        <f t="shared" si="127"/>
        <v>0</v>
      </c>
      <c r="Z174" s="482">
        <f t="shared" si="127"/>
        <v>0</v>
      </c>
      <c r="AA174" s="482">
        <f t="shared" si="127"/>
        <v>0</v>
      </c>
      <c r="AB174" s="482"/>
      <c r="AC174" s="380">
        <f t="shared" si="111"/>
        <v>0</v>
      </c>
    </row>
    <row r="175" spans="1:36" s="422" customFormat="1" ht="23.25" customHeight="1">
      <c r="A175" s="495" t="s">
        <v>1287</v>
      </c>
      <c r="B175" s="503" t="s">
        <v>38</v>
      </c>
      <c r="C175" s="27" t="s">
        <v>1156</v>
      </c>
      <c r="D175" s="421"/>
      <c r="E175" s="421"/>
      <c r="F175" s="504"/>
      <c r="G175" s="421"/>
      <c r="H175" s="418"/>
      <c r="I175" s="504"/>
      <c r="J175" s="505">
        <f t="shared" ref="J175:AA175" si="128">+J176+J178+J179</f>
        <v>3000</v>
      </c>
      <c r="K175" s="505">
        <f t="shared" si="128"/>
        <v>0</v>
      </c>
      <c r="L175" s="505">
        <f t="shared" si="128"/>
        <v>0</v>
      </c>
      <c r="M175" s="505">
        <f t="shared" si="128"/>
        <v>3000</v>
      </c>
      <c r="N175" s="505">
        <f t="shared" si="128"/>
        <v>2765.54</v>
      </c>
      <c r="O175" s="505">
        <f t="shared" si="128"/>
        <v>0</v>
      </c>
      <c r="P175" s="505">
        <f t="shared" si="128"/>
        <v>0</v>
      </c>
      <c r="Q175" s="505">
        <f t="shared" si="128"/>
        <v>2765.54</v>
      </c>
      <c r="R175" s="505">
        <f t="shared" si="128"/>
        <v>2765.54</v>
      </c>
      <c r="S175" s="505">
        <f t="shared" si="128"/>
        <v>0</v>
      </c>
      <c r="T175" s="505">
        <f t="shared" si="128"/>
        <v>0</v>
      </c>
      <c r="U175" s="505">
        <f t="shared" si="128"/>
        <v>2765.54</v>
      </c>
      <c r="V175" s="505">
        <f t="shared" si="128"/>
        <v>99.997</v>
      </c>
      <c r="W175" s="505">
        <f t="shared" si="128"/>
        <v>99.997</v>
      </c>
      <c r="X175" s="505">
        <f t="shared" si="128"/>
        <v>99.997</v>
      </c>
      <c r="Y175" s="505">
        <f t="shared" si="128"/>
        <v>0</v>
      </c>
      <c r="Z175" s="505">
        <f t="shared" si="128"/>
        <v>0</v>
      </c>
      <c r="AA175" s="505">
        <f t="shared" si="128"/>
        <v>0</v>
      </c>
      <c r="AB175" s="506"/>
      <c r="AC175" s="380">
        <f t="shared" si="111"/>
        <v>0</v>
      </c>
    </row>
    <row r="176" spans="1:36" s="10" customFormat="1" ht="31.5" customHeight="1">
      <c r="A176" s="479" t="s">
        <v>39</v>
      </c>
      <c r="B176" s="326" t="s">
        <v>1254</v>
      </c>
      <c r="C176" s="27" t="s">
        <v>1156</v>
      </c>
      <c r="D176" s="328"/>
      <c r="E176" s="328"/>
      <c r="F176" s="328"/>
      <c r="G176" s="328"/>
      <c r="H176" s="328"/>
      <c r="I176" s="328"/>
      <c r="J176" s="480">
        <f t="shared" ref="J176:AA176" si="129">+J177</f>
        <v>3000</v>
      </c>
      <c r="K176" s="480">
        <f t="shared" si="129"/>
        <v>0</v>
      </c>
      <c r="L176" s="480">
        <f t="shared" si="129"/>
        <v>0</v>
      </c>
      <c r="M176" s="480">
        <f t="shared" si="129"/>
        <v>3000</v>
      </c>
      <c r="N176" s="480">
        <f t="shared" si="129"/>
        <v>2765.54</v>
      </c>
      <c r="O176" s="480">
        <f t="shared" si="129"/>
        <v>0</v>
      </c>
      <c r="P176" s="480">
        <f t="shared" si="129"/>
        <v>0</v>
      </c>
      <c r="Q176" s="480">
        <f t="shared" si="129"/>
        <v>2765.54</v>
      </c>
      <c r="R176" s="480">
        <f t="shared" si="129"/>
        <v>2765.54</v>
      </c>
      <c r="S176" s="480">
        <f t="shared" si="129"/>
        <v>0</v>
      </c>
      <c r="T176" s="480">
        <f t="shared" si="129"/>
        <v>0</v>
      </c>
      <c r="U176" s="480">
        <f t="shared" si="129"/>
        <v>2765.54</v>
      </c>
      <c r="V176" s="480">
        <f t="shared" si="129"/>
        <v>99.997</v>
      </c>
      <c r="W176" s="480">
        <f t="shared" si="129"/>
        <v>99.997</v>
      </c>
      <c r="X176" s="480">
        <f t="shared" si="129"/>
        <v>99.997</v>
      </c>
      <c r="Y176" s="480">
        <f t="shared" si="129"/>
        <v>0</v>
      </c>
      <c r="Z176" s="480">
        <f t="shared" si="129"/>
        <v>0</v>
      </c>
      <c r="AA176" s="480">
        <f t="shared" si="129"/>
        <v>0</v>
      </c>
      <c r="AB176" s="481"/>
      <c r="AC176" s="380">
        <f t="shared" si="111"/>
        <v>0</v>
      </c>
    </row>
    <row r="177" spans="1:36" s="7" customFormat="1" ht="58.5" customHeight="1">
      <c r="A177" s="13" t="s">
        <v>144</v>
      </c>
      <c r="B177" s="27" t="s">
        <v>1165</v>
      </c>
      <c r="C177" s="27" t="s">
        <v>1156</v>
      </c>
      <c r="D177" s="13">
        <v>7804483</v>
      </c>
      <c r="E177" s="13"/>
      <c r="F177" s="13" t="s">
        <v>86</v>
      </c>
      <c r="G177" s="13" t="s">
        <v>1166</v>
      </c>
      <c r="H177" s="13" t="s">
        <v>1167</v>
      </c>
      <c r="I177" s="13" t="s">
        <v>1168</v>
      </c>
      <c r="J177" s="526">
        <v>3000</v>
      </c>
      <c r="K177" s="526"/>
      <c r="L177" s="526"/>
      <c r="M177" s="526">
        <v>3000</v>
      </c>
      <c r="N177" s="526">
        <v>2765.54</v>
      </c>
      <c r="O177" s="526"/>
      <c r="P177" s="526"/>
      <c r="Q177" s="526">
        <v>2765.54</v>
      </c>
      <c r="R177" s="526">
        <v>2765.54</v>
      </c>
      <c r="S177" s="526"/>
      <c r="T177" s="526"/>
      <c r="U177" s="526">
        <v>2765.54</v>
      </c>
      <c r="V177" s="44">
        <v>99.997</v>
      </c>
      <c r="W177" s="526">
        <f>SUM(X177:AA177)</f>
        <v>99.997</v>
      </c>
      <c r="X177" s="526">
        <v>99.997</v>
      </c>
      <c r="Y177" s="526"/>
      <c r="Z177" s="526"/>
      <c r="AA177" s="526"/>
      <c r="AB177" s="478" t="s">
        <v>1308</v>
      </c>
      <c r="AC177" s="380">
        <f t="shared" si="111"/>
        <v>0</v>
      </c>
      <c r="AJ177" s="408" t="s">
        <v>1308</v>
      </c>
    </row>
    <row r="178" spans="1:36" s="417" customFormat="1" ht="46.5" customHeight="1">
      <c r="A178" s="327" t="s">
        <v>467</v>
      </c>
      <c r="B178" s="400" t="s">
        <v>183</v>
      </c>
      <c r="C178" s="27" t="s">
        <v>1156</v>
      </c>
      <c r="D178" s="494"/>
      <c r="E178" s="494"/>
      <c r="F178" s="494"/>
      <c r="G178" s="494"/>
      <c r="H178" s="494"/>
      <c r="I178" s="327"/>
      <c r="J178" s="331"/>
      <c r="K178" s="331"/>
      <c r="L178" s="331"/>
      <c r="M178" s="331"/>
      <c r="N178" s="331"/>
      <c r="O178" s="331"/>
      <c r="P178" s="331"/>
      <c r="Q178" s="331"/>
      <c r="R178" s="331"/>
      <c r="S178" s="331"/>
      <c r="T178" s="331"/>
      <c r="U178" s="331"/>
      <c r="V178" s="331"/>
      <c r="W178" s="331"/>
      <c r="X178" s="331"/>
      <c r="Y178" s="331"/>
      <c r="Z178" s="331"/>
      <c r="AA178" s="331"/>
      <c r="AB178" s="332"/>
      <c r="AC178" s="380">
        <f t="shared" si="111"/>
        <v>0</v>
      </c>
    </row>
    <row r="179" spans="1:36" s="417" customFormat="1" ht="28.5" customHeight="1">
      <c r="A179" s="327" t="s">
        <v>1306</v>
      </c>
      <c r="B179" s="413" t="s">
        <v>1307</v>
      </c>
      <c r="C179" s="27" t="s">
        <v>1156</v>
      </c>
      <c r="D179" s="494"/>
      <c r="E179" s="494"/>
      <c r="F179" s="494"/>
      <c r="G179" s="494"/>
      <c r="H179" s="494"/>
      <c r="I179" s="327"/>
      <c r="J179" s="331"/>
      <c r="K179" s="331"/>
      <c r="L179" s="331"/>
      <c r="M179" s="331"/>
      <c r="N179" s="331"/>
      <c r="O179" s="331"/>
      <c r="P179" s="331"/>
      <c r="Q179" s="331"/>
      <c r="R179" s="331"/>
      <c r="S179" s="331"/>
      <c r="T179" s="331"/>
      <c r="U179" s="331"/>
      <c r="V179" s="331"/>
      <c r="W179" s="331"/>
      <c r="X179" s="331"/>
      <c r="Y179" s="331"/>
      <c r="Z179" s="331"/>
      <c r="AA179" s="331"/>
      <c r="AB179" s="332"/>
      <c r="AC179" s="380">
        <f t="shared" si="111"/>
        <v>0</v>
      </c>
    </row>
    <row r="180" spans="1:36" s="7" customFormat="1" ht="36.75" customHeight="1">
      <c r="A180" s="320">
        <v>3</v>
      </c>
      <c r="B180" s="441" t="s">
        <v>1169</v>
      </c>
      <c r="C180" s="441" t="s">
        <v>1169</v>
      </c>
      <c r="D180" s="13"/>
      <c r="E180" s="13"/>
      <c r="F180" s="13"/>
      <c r="G180" s="13"/>
      <c r="H180" s="13"/>
      <c r="I180" s="27"/>
      <c r="J180" s="527">
        <f t="shared" ref="J180:AA180" si="130">+J181</f>
        <v>5200</v>
      </c>
      <c r="K180" s="527">
        <f t="shared" si="130"/>
        <v>0</v>
      </c>
      <c r="L180" s="527">
        <f t="shared" si="130"/>
        <v>0</v>
      </c>
      <c r="M180" s="527">
        <f t="shared" si="130"/>
        <v>5200</v>
      </c>
      <c r="N180" s="527">
        <f t="shared" si="130"/>
        <v>4079</v>
      </c>
      <c r="O180" s="527">
        <f t="shared" si="130"/>
        <v>0</v>
      </c>
      <c r="P180" s="527">
        <f t="shared" si="130"/>
        <v>0</v>
      </c>
      <c r="Q180" s="527">
        <f t="shared" si="130"/>
        <v>4079</v>
      </c>
      <c r="R180" s="527">
        <f t="shared" si="130"/>
        <v>4079</v>
      </c>
      <c r="S180" s="527">
        <f t="shared" si="130"/>
        <v>0</v>
      </c>
      <c r="T180" s="527">
        <f t="shared" si="130"/>
        <v>0</v>
      </c>
      <c r="U180" s="527">
        <f t="shared" si="130"/>
        <v>4079</v>
      </c>
      <c r="V180" s="527">
        <f t="shared" si="130"/>
        <v>440</v>
      </c>
      <c r="W180" s="527">
        <f t="shared" si="130"/>
        <v>440</v>
      </c>
      <c r="X180" s="527">
        <f t="shared" si="130"/>
        <v>440</v>
      </c>
      <c r="Y180" s="527">
        <f t="shared" si="130"/>
        <v>0</v>
      </c>
      <c r="Z180" s="527">
        <f t="shared" si="130"/>
        <v>0</v>
      </c>
      <c r="AA180" s="527">
        <f t="shared" si="130"/>
        <v>0</v>
      </c>
      <c r="AB180" s="482"/>
      <c r="AC180" s="380">
        <f t="shared" si="111"/>
        <v>0</v>
      </c>
    </row>
    <row r="181" spans="1:36" s="422" customFormat="1" ht="23.25" customHeight="1">
      <c r="A181" s="495" t="s">
        <v>1288</v>
      </c>
      <c r="B181" s="503" t="s">
        <v>38</v>
      </c>
      <c r="C181" s="27" t="s">
        <v>1169</v>
      </c>
      <c r="D181" s="421"/>
      <c r="E181" s="421"/>
      <c r="F181" s="504"/>
      <c r="G181" s="421"/>
      <c r="H181" s="418"/>
      <c r="I181" s="504"/>
      <c r="J181" s="505">
        <f t="shared" ref="J181:AA181" si="131">+J182+J183+J185</f>
        <v>5200</v>
      </c>
      <c r="K181" s="505">
        <f t="shared" si="131"/>
        <v>0</v>
      </c>
      <c r="L181" s="505">
        <f t="shared" si="131"/>
        <v>0</v>
      </c>
      <c r="M181" s="505">
        <f t="shared" si="131"/>
        <v>5200</v>
      </c>
      <c r="N181" s="505">
        <f t="shared" si="131"/>
        <v>4079</v>
      </c>
      <c r="O181" s="505">
        <f t="shared" si="131"/>
        <v>0</v>
      </c>
      <c r="P181" s="505">
        <f t="shared" si="131"/>
        <v>0</v>
      </c>
      <c r="Q181" s="505">
        <f t="shared" si="131"/>
        <v>4079</v>
      </c>
      <c r="R181" s="505">
        <f t="shared" si="131"/>
        <v>4079</v>
      </c>
      <c r="S181" s="505">
        <f t="shared" si="131"/>
        <v>0</v>
      </c>
      <c r="T181" s="505">
        <f t="shared" si="131"/>
        <v>0</v>
      </c>
      <c r="U181" s="505">
        <f t="shared" si="131"/>
        <v>4079</v>
      </c>
      <c r="V181" s="505">
        <f t="shared" si="131"/>
        <v>440</v>
      </c>
      <c r="W181" s="505">
        <f t="shared" si="131"/>
        <v>440</v>
      </c>
      <c r="X181" s="505">
        <f t="shared" si="131"/>
        <v>440</v>
      </c>
      <c r="Y181" s="505">
        <f t="shared" si="131"/>
        <v>0</v>
      </c>
      <c r="Z181" s="505">
        <f t="shared" si="131"/>
        <v>0</v>
      </c>
      <c r="AA181" s="505">
        <f t="shared" si="131"/>
        <v>0</v>
      </c>
      <c r="AB181" s="506"/>
      <c r="AC181" s="380">
        <f t="shared" si="111"/>
        <v>0</v>
      </c>
    </row>
    <row r="182" spans="1:36" s="10" customFormat="1" ht="31.5" customHeight="1">
      <c r="A182" s="479" t="s">
        <v>39</v>
      </c>
      <c r="B182" s="326" t="s">
        <v>1254</v>
      </c>
      <c r="C182" s="27" t="s">
        <v>1169</v>
      </c>
      <c r="D182" s="328"/>
      <c r="E182" s="328"/>
      <c r="F182" s="328"/>
      <c r="G182" s="328"/>
      <c r="H182" s="328"/>
      <c r="I182" s="328"/>
      <c r="J182" s="480"/>
      <c r="K182" s="480"/>
      <c r="L182" s="480"/>
      <c r="M182" s="480"/>
      <c r="N182" s="480"/>
      <c r="O182" s="480"/>
      <c r="P182" s="480"/>
      <c r="Q182" s="480"/>
      <c r="R182" s="480"/>
      <c r="S182" s="480"/>
      <c r="T182" s="480"/>
      <c r="U182" s="480"/>
      <c r="V182" s="480"/>
      <c r="W182" s="480"/>
      <c r="X182" s="480"/>
      <c r="Y182" s="480"/>
      <c r="Z182" s="480"/>
      <c r="AA182" s="480"/>
      <c r="AB182" s="481"/>
      <c r="AC182" s="380">
        <f t="shared" si="111"/>
        <v>0</v>
      </c>
    </row>
    <row r="183" spans="1:36" s="417" customFormat="1" ht="53.25" customHeight="1">
      <c r="A183" s="328" t="s">
        <v>467</v>
      </c>
      <c r="B183" s="492" t="s">
        <v>56</v>
      </c>
      <c r="C183" s="27" t="s">
        <v>1169</v>
      </c>
      <c r="D183" s="328"/>
      <c r="E183" s="328"/>
      <c r="F183" s="328"/>
      <c r="G183" s="328"/>
      <c r="H183" s="328"/>
      <c r="I183" s="492"/>
      <c r="J183" s="528">
        <f t="shared" ref="J183:AA183" si="132">SUM(J184)</f>
        <v>5200</v>
      </c>
      <c r="K183" s="528">
        <f t="shared" si="132"/>
        <v>0</v>
      </c>
      <c r="L183" s="528">
        <f t="shared" si="132"/>
        <v>0</v>
      </c>
      <c r="M183" s="528">
        <f t="shared" si="132"/>
        <v>5200</v>
      </c>
      <c r="N183" s="528">
        <f t="shared" si="132"/>
        <v>4079</v>
      </c>
      <c r="O183" s="528">
        <f t="shared" si="132"/>
        <v>0</v>
      </c>
      <c r="P183" s="528">
        <f t="shared" si="132"/>
        <v>0</v>
      </c>
      <c r="Q183" s="528">
        <f t="shared" si="132"/>
        <v>4079</v>
      </c>
      <c r="R183" s="528">
        <f t="shared" si="132"/>
        <v>4079</v>
      </c>
      <c r="S183" s="528">
        <f t="shared" si="132"/>
        <v>0</v>
      </c>
      <c r="T183" s="528">
        <f t="shared" si="132"/>
        <v>0</v>
      </c>
      <c r="U183" s="528">
        <f t="shared" si="132"/>
        <v>4079</v>
      </c>
      <c r="V183" s="528">
        <f t="shared" si="132"/>
        <v>440</v>
      </c>
      <c r="W183" s="528">
        <f t="shared" si="132"/>
        <v>440</v>
      </c>
      <c r="X183" s="528">
        <f t="shared" si="132"/>
        <v>440</v>
      </c>
      <c r="Y183" s="528">
        <f t="shared" si="132"/>
        <v>0</v>
      </c>
      <c r="Z183" s="528">
        <f t="shared" si="132"/>
        <v>0</v>
      </c>
      <c r="AA183" s="528">
        <f t="shared" si="132"/>
        <v>0</v>
      </c>
      <c r="AB183" s="481"/>
      <c r="AC183" s="380">
        <f t="shared" si="111"/>
        <v>0</v>
      </c>
    </row>
    <row r="184" spans="1:36" s="7" customFormat="1" ht="58.5" customHeight="1">
      <c r="A184" s="430" t="s">
        <v>144</v>
      </c>
      <c r="B184" s="15" t="s">
        <v>1170</v>
      </c>
      <c r="C184" s="27" t="s">
        <v>1169</v>
      </c>
      <c r="D184" s="20">
        <v>8080647</v>
      </c>
      <c r="E184" s="20"/>
      <c r="F184" s="20" t="s">
        <v>1171</v>
      </c>
      <c r="G184" s="13" t="s">
        <v>1172</v>
      </c>
      <c r="H184" s="20" t="s">
        <v>41</v>
      </c>
      <c r="I184" s="20" t="s">
        <v>1173</v>
      </c>
      <c r="J184" s="12">
        <v>5200</v>
      </c>
      <c r="K184" s="12"/>
      <c r="L184" s="12"/>
      <c r="M184" s="12">
        <v>5200</v>
      </c>
      <c r="N184" s="12">
        <v>4079</v>
      </c>
      <c r="O184" s="12"/>
      <c r="P184" s="12"/>
      <c r="Q184" s="12">
        <v>4079</v>
      </c>
      <c r="R184" s="12">
        <v>4079</v>
      </c>
      <c r="S184" s="12"/>
      <c r="T184" s="12"/>
      <c r="U184" s="12">
        <v>4079</v>
      </c>
      <c r="V184" s="43">
        <v>440</v>
      </c>
      <c r="W184" s="12">
        <f>SUM(X184:AA184)</f>
        <v>440</v>
      </c>
      <c r="X184" s="12">
        <v>440</v>
      </c>
      <c r="Y184" s="12"/>
      <c r="Z184" s="12"/>
      <c r="AA184" s="12"/>
      <c r="AB184" s="408" t="s">
        <v>1622</v>
      </c>
      <c r="AC184" s="380">
        <f t="shared" si="111"/>
        <v>0</v>
      </c>
      <c r="AJ184" s="338" t="s">
        <v>685</v>
      </c>
    </row>
    <row r="185" spans="1:36" s="417" customFormat="1" ht="28.5" customHeight="1">
      <c r="A185" s="327" t="s">
        <v>1306</v>
      </c>
      <c r="B185" s="413" t="s">
        <v>1307</v>
      </c>
      <c r="C185" s="27" t="s">
        <v>1169</v>
      </c>
      <c r="D185" s="494"/>
      <c r="E185" s="494"/>
      <c r="F185" s="494"/>
      <c r="G185" s="494"/>
      <c r="H185" s="494"/>
      <c r="I185" s="327"/>
      <c r="J185" s="331"/>
      <c r="K185" s="331"/>
      <c r="L185" s="331"/>
      <c r="M185" s="331"/>
      <c r="N185" s="331"/>
      <c r="O185" s="331"/>
      <c r="P185" s="331"/>
      <c r="Q185" s="331"/>
      <c r="R185" s="331"/>
      <c r="S185" s="331"/>
      <c r="T185" s="331"/>
      <c r="U185" s="331"/>
      <c r="V185" s="331"/>
      <c r="W185" s="331"/>
      <c r="X185" s="331"/>
      <c r="Y185" s="331"/>
      <c r="Z185" s="331"/>
      <c r="AA185" s="331"/>
      <c r="AB185" s="332"/>
      <c r="AC185" s="380">
        <f t="shared" si="111"/>
        <v>0</v>
      </c>
    </row>
    <row r="186" spans="1:36" s="8" customFormat="1" ht="42.75" customHeight="1">
      <c r="A186" s="389" t="s">
        <v>50</v>
      </c>
      <c r="B186" s="317" t="s">
        <v>246</v>
      </c>
      <c r="C186" s="320"/>
      <c r="D186" s="123"/>
      <c r="E186" s="123"/>
      <c r="F186" s="123"/>
      <c r="G186" s="123"/>
      <c r="H186" s="123"/>
      <c r="I186" s="390"/>
      <c r="J186" s="391">
        <f>J187+J198+J202</f>
        <v>327576</v>
      </c>
      <c r="K186" s="391">
        <f t="shared" ref="K186:AA186" si="133">K187+K198+K202</f>
        <v>0</v>
      </c>
      <c r="L186" s="391">
        <f t="shared" si="133"/>
        <v>39033</v>
      </c>
      <c r="M186" s="391">
        <f t="shared" si="133"/>
        <v>288543</v>
      </c>
      <c r="N186" s="391">
        <f t="shared" si="133"/>
        <v>178694</v>
      </c>
      <c r="O186" s="391">
        <f t="shared" si="133"/>
        <v>0</v>
      </c>
      <c r="P186" s="391">
        <f t="shared" si="133"/>
        <v>0</v>
      </c>
      <c r="Q186" s="391">
        <f t="shared" si="133"/>
        <v>178694</v>
      </c>
      <c r="R186" s="391">
        <f t="shared" si="133"/>
        <v>178705</v>
      </c>
      <c r="S186" s="391">
        <f t="shared" si="133"/>
        <v>0</v>
      </c>
      <c r="T186" s="391">
        <f t="shared" si="133"/>
        <v>0</v>
      </c>
      <c r="U186" s="391">
        <f t="shared" si="133"/>
        <v>178705</v>
      </c>
      <c r="V186" s="391">
        <f t="shared" si="133"/>
        <v>87480.240488425261</v>
      </c>
      <c r="W186" s="391">
        <f t="shared" si="133"/>
        <v>50985.240488425261</v>
      </c>
      <c r="X186" s="391">
        <f t="shared" si="133"/>
        <v>0</v>
      </c>
      <c r="Y186" s="391">
        <f t="shared" si="133"/>
        <v>0</v>
      </c>
      <c r="Z186" s="391">
        <f t="shared" si="133"/>
        <v>50985.240488425261</v>
      </c>
      <c r="AA186" s="391">
        <f t="shared" si="133"/>
        <v>0</v>
      </c>
      <c r="AB186" s="392"/>
      <c r="AC186" s="380">
        <f t="shared" si="111"/>
        <v>0</v>
      </c>
    </row>
    <row r="187" spans="1:36" s="8" customFormat="1" ht="26.25" customHeight="1">
      <c r="A187" s="389">
        <v>1</v>
      </c>
      <c r="B187" s="317" t="s">
        <v>247</v>
      </c>
      <c r="C187" s="317" t="s">
        <v>247</v>
      </c>
      <c r="D187" s="123"/>
      <c r="E187" s="123"/>
      <c r="F187" s="123"/>
      <c r="G187" s="123"/>
      <c r="H187" s="123"/>
      <c r="I187" s="390"/>
      <c r="J187" s="507">
        <f t="shared" ref="J187:AA187" si="134">+J188</f>
        <v>131407</v>
      </c>
      <c r="K187" s="507">
        <f t="shared" si="134"/>
        <v>0</v>
      </c>
      <c r="L187" s="507">
        <f t="shared" si="134"/>
        <v>0</v>
      </c>
      <c r="M187" s="507">
        <f t="shared" si="134"/>
        <v>131407</v>
      </c>
      <c r="N187" s="507">
        <f t="shared" si="134"/>
        <v>42643</v>
      </c>
      <c r="O187" s="507">
        <f t="shared" si="134"/>
        <v>0</v>
      </c>
      <c r="P187" s="507">
        <f t="shared" si="134"/>
        <v>0</v>
      </c>
      <c r="Q187" s="507">
        <f t="shared" si="134"/>
        <v>42643</v>
      </c>
      <c r="R187" s="507">
        <f t="shared" si="134"/>
        <v>42643</v>
      </c>
      <c r="S187" s="507">
        <f t="shared" si="134"/>
        <v>0</v>
      </c>
      <c r="T187" s="507">
        <f t="shared" si="134"/>
        <v>0</v>
      </c>
      <c r="U187" s="507">
        <f t="shared" si="134"/>
        <v>42643</v>
      </c>
      <c r="V187" s="507">
        <f t="shared" si="134"/>
        <v>77434</v>
      </c>
      <c r="W187" s="507">
        <f t="shared" si="134"/>
        <v>40939</v>
      </c>
      <c r="X187" s="507">
        <f t="shared" si="134"/>
        <v>0</v>
      </c>
      <c r="Y187" s="507">
        <f t="shared" si="134"/>
        <v>0</v>
      </c>
      <c r="Z187" s="507">
        <f t="shared" si="134"/>
        <v>40939</v>
      </c>
      <c r="AA187" s="507">
        <f t="shared" si="134"/>
        <v>0</v>
      </c>
      <c r="AB187" s="502"/>
      <c r="AC187" s="380">
        <f t="shared" si="111"/>
        <v>0</v>
      </c>
    </row>
    <row r="188" spans="1:36" s="10" customFormat="1" ht="26.25" customHeight="1">
      <c r="A188" s="442" t="s">
        <v>1305</v>
      </c>
      <c r="B188" s="394" t="s">
        <v>38</v>
      </c>
      <c r="C188" s="15" t="s">
        <v>247</v>
      </c>
      <c r="D188" s="329"/>
      <c r="E188" s="329"/>
      <c r="F188" s="329"/>
      <c r="G188" s="329"/>
      <c r="H188" s="329"/>
      <c r="I188" s="330"/>
      <c r="J188" s="529">
        <f t="shared" ref="J188:AA188" si="135">+J189+J193+J197</f>
        <v>131407</v>
      </c>
      <c r="K188" s="529">
        <f t="shared" si="135"/>
        <v>0</v>
      </c>
      <c r="L188" s="529">
        <f t="shared" si="135"/>
        <v>0</v>
      </c>
      <c r="M188" s="529">
        <f t="shared" si="135"/>
        <v>131407</v>
      </c>
      <c r="N188" s="529">
        <f t="shared" si="135"/>
        <v>42643</v>
      </c>
      <c r="O188" s="529">
        <f t="shared" si="135"/>
        <v>0</v>
      </c>
      <c r="P188" s="529">
        <f t="shared" si="135"/>
        <v>0</v>
      </c>
      <c r="Q188" s="529">
        <f t="shared" si="135"/>
        <v>42643</v>
      </c>
      <c r="R188" s="529">
        <f t="shared" si="135"/>
        <v>42643</v>
      </c>
      <c r="S188" s="529">
        <f t="shared" si="135"/>
        <v>0</v>
      </c>
      <c r="T188" s="529">
        <f t="shared" si="135"/>
        <v>0</v>
      </c>
      <c r="U188" s="529">
        <f t="shared" si="135"/>
        <v>42643</v>
      </c>
      <c r="V188" s="529">
        <f t="shared" si="135"/>
        <v>77434</v>
      </c>
      <c r="W188" s="529">
        <f t="shared" si="135"/>
        <v>40939</v>
      </c>
      <c r="X188" s="529">
        <f t="shared" si="135"/>
        <v>0</v>
      </c>
      <c r="Y188" s="529">
        <f t="shared" si="135"/>
        <v>0</v>
      </c>
      <c r="Z188" s="529">
        <f t="shared" si="135"/>
        <v>40939</v>
      </c>
      <c r="AA188" s="529">
        <f t="shared" si="135"/>
        <v>0</v>
      </c>
      <c r="AB188" s="530"/>
      <c r="AC188" s="380">
        <f t="shared" si="111"/>
        <v>0</v>
      </c>
    </row>
    <row r="189" spans="1:36" s="10" customFormat="1" ht="30.75" customHeight="1">
      <c r="A189" s="327" t="s">
        <v>39</v>
      </c>
      <c r="B189" s="326" t="s">
        <v>1254</v>
      </c>
      <c r="C189" s="15" t="s">
        <v>247</v>
      </c>
      <c r="D189" s="329"/>
      <c r="E189" s="329"/>
      <c r="F189" s="329"/>
      <c r="G189" s="329"/>
      <c r="H189" s="329"/>
      <c r="I189" s="330"/>
      <c r="J189" s="531">
        <f t="shared" ref="J189:AA189" si="136">+SUM(J190:J192)</f>
        <v>23409</v>
      </c>
      <c r="K189" s="531">
        <f t="shared" si="136"/>
        <v>0</v>
      </c>
      <c r="L189" s="531">
        <f t="shared" si="136"/>
        <v>0</v>
      </c>
      <c r="M189" s="531">
        <f t="shared" si="136"/>
        <v>23409</v>
      </c>
      <c r="N189" s="531">
        <f t="shared" si="136"/>
        <v>14014</v>
      </c>
      <c r="O189" s="531">
        <f t="shared" si="136"/>
        <v>0</v>
      </c>
      <c r="P189" s="531">
        <f t="shared" si="136"/>
        <v>0</v>
      </c>
      <c r="Q189" s="531">
        <f t="shared" si="136"/>
        <v>14014</v>
      </c>
      <c r="R189" s="531">
        <f t="shared" si="136"/>
        <v>14014</v>
      </c>
      <c r="S189" s="531">
        <f t="shared" si="136"/>
        <v>0</v>
      </c>
      <c r="T189" s="531">
        <f t="shared" si="136"/>
        <v>0</v>
      </c>
      <c r="U189" s="531">
        <f t="shared" si="136"/>
        <v>14014</v>
      </c>
      <c r="V189" s="531">
        <f t="shared" si="136"/>
        <v>142</v>
      </c>
      <c r="W189" s="531">
        <f t="shared" si="136"/>
        <v>141</v>
      </c>
      <c r="X189" s="531">
        <f t="shared" si="136"/>
        <v>0</v>
      </c>
      <c r="Y189" s="531">
        <f t="shared" si="136"/>
        <v>0</v>
      </c>
      <c r="Z189" s="531">
        <f t="shared" si="136"/>
        <v>141</v>
      </c>
      <c r="AA189" s="531">
        <f t="shared" si="136"/>
        <v>0</v>
      </c>
      <c r="AB189" s="532"/>
      <c r="AC189" s="380">
        <f t="shared" si="111"/>
        <v>0</v>
      </c>
    </row>
    <row r="190" spans="1:36" s="8" customFormat="1" ht="51.75" customHeight="1">
      <c r="A190" s="430" t="s">
        <v>144</v>
      </c>
      <c r="B190" s="25" t="s">
        <v>249</v>
      </c>
      <c r="C190" s="15" t="s">
        <v>247</v>
      </c>
      <c r="D190" s="13">
        <v>7917054</v>
      </c>
      <c r="E190" s="316" t="s">
        <v>250</v>
      </c>
      <c r="F190" s="13" t="s">
        <v>251</v>
      </c>
      <c r="G190" s="316"/>
      <c r="H190" s="316"/>
      <c r="I190" s="13" t="s">
        <v>252</v>
      </c>
      <c r="J190" s="28">
        <f>SUM(K190:M190)</f>
        <v>6198</v>
      </c>
      <c r="K190" s="28">
        <v>0</v>
      </c>
      <c r="L190" s="28">
        <v>0</v>
      </c>
      <c r="M190" s="399">
        <v>6198</v>
      </c>
      <c r="N190" s="28">
        <f>SUM(O190:Q190)</f>
        <v>148</v>
      </c>
      <c r="O190" s="28">
        <v>0</v>
      </c>
      <c r="P190" s="28">
        <v>0</v>
      </c>
      <c r="Q190" s="533">
        <v>148</v>
      </c>
      <c r="R190" s="28">
        <f>SUM(S190:U190)</f>
        <v>148</v>
      </c>
      <c r="S190" s="28">
        <v>0</v>
      </c>
      <c r="T190" s="28">
        <v>0</v>
      </c>
      <c r="U190" s="533">
        <v>148</v>
      </c>
      <c r="V190" s="533">
        <v>35</v>
      </c>
      <c r="W190" s="534">
        <f>SUM(X190:AA190)</f>
        <v>35</v>
      </c>
      <c r="X190" s="534"/>
      <c r="Y190" s="534"/>
      <c r="Z190" s="534">
        <v>35</v>
      </c>
      <c r="AA190" s="534"/>
      <c r="AB190" s="535" t="s">
        <v>1308</v>
      </c>
      <c r="AC190" s="380">
        <f t="shared" si="111"/>
        <v>0</v>
      </c>
      <c r="AJ190" s="408" t="s">
        <v>1308</v>
      </c>
    </row>
    <row r="191" spans="1:36" s="8" customFormat="1" ht="35.25" customHeight="1">
      <c r="A191" s="430" t="s">
        <v>144</v>
      </c>
      <c r="B191" s="27" t="s">
        <v>1688</v>
      </c>
      <c r="C191" s="15" t="s">
        <v>247</v>
      </c>
      <c r="D191" s="13">
        <v>7901669</v>
      </c>
      <c r="E191" s="316" t="s">
        <v>250</v>
      </c>
      <c r="F191" s="13" t="s">
        <v>202</v>
      </c>
      <c r="G191" s="316"/>
      <c r="H191" s="316" t="s">
        <v>187</v>
      </c>
      <c r="I191" s="13" t="s">
        <v>253</v>
      </c>
      <c r="J191" s="28">
        <f>SUM(K191:M191)</f>
        <v>9624</v>
      </c>
      <c r="K191" s="28">
        <v>0</v>
      </c>
      <c r="L191" s="28">
        <v>0</v>
      </c>
      <c r="M191" s="399">
        <v>9624</v>
      </c>
      <c r="N191" s="28">
        <f>SUM(O191:Q191)</f>
        <v>7424</v>
      </c>
      <c r="O191" s="28">
        <v>0</v>
      </c>
      <c r="P191" s="28">
        <v>0</v>
      </c>
      <c r="Q191" s="533">
        <v>7424</v>
      </c>
      <c r="R191" s="28">
        <f>SUM(S191:U191)</f>
        <v>7424</v>
      </c>
      <c r="S191" s="28">
        <v>0</v>
      </c>
      <c r="T191" s="28">
        <v>0</v>
      </c>
      <c r="U191" s="533">
        <v>7424</v>
      </c>
      <c r="V191" s="407">
        <v>88</v>
      </c>
      <c r="W191" s="534">
        <f t="shared" ref="W191:W192" si="137">SUM(X191:AA191)</f>
        <v>87</v>
      </c>
      <c r="X191" s="536"/>
      <c r="Y191" s="536"/>
      <c r="Z191" s="536">
        <v>87</v>
      </c>
      <c r="AA191" s="536"/>
      <c r="AB191" s="403" t="s">
        <v>1308</v>
      </c>
      <c r="AC191" s="380">
        <f t="shared" si="111"/>
        <v>0</v>
      </c>
      <c r="AJ191" s="408" t="s">
        <v>1308</v>
      </c>
    </row>
    <row r="192" spans="1:36" s="8" customFormat="1" ht="60.75" customHeight="1">
      <c r="A192" s="430" t="s">
        <v>144</v>
      </c>
      <c r="B192" s="42" t="s">
        <v>254</v>
      </c>
      <c r="C192" s="15" t="s">
        <v>247</v>
      </c>
      <c r="D192" s="537">
        <v>7929316</v>
      </c>
      <c r="E192" s="316" t="s">
        <v>250</v>
      </c>
      <c r="F192" s="316" t="s">
        <v>466</v>
      </c>
      <c r="G192" s="316"/>
      <c r="H192" s="316" t="s">
        <v>187</v>
      </c>
      <c r="I192" s="13" t="s">
        <v>255</v>
      </c>
      <c r="J192" s="28">
        <f>SUM(K192:M192)</f>
        <v>7587</v>
      </c>
      <c r="K192" s="28">
        <v>0</v>
      </c>
      <c r="L192" s="28">
        <v>0</v>
      </c>
      <c r="M192" s="533">
        <v>7587</v>
      </c>
      <c r="N192" s="28">
        <f>SUM(O192:Q192)</f>
        <v>6442</v>
      </c>
      <c r="O192" s="28">
        <v>0</v>
      </c>
      <c r="P192" s="28">
        <v>0</v>
      </c>
      <c r="Q192" s="533">
        <v>6442</v>
      </c>
      <c r="R192" s="28">
        <f>SUM(S192:U192)</f>
        <v>6442</v>
      </c>
      <c r="S192" s="28">
        <v>0</v>
      </c>
      <c r="T192" s="28">
        <v>0</v>
      </c>
      <c r="U192" s="533">
        <v>6442</v>
      </c>
      <c r="V192" s="533">
        <v>19</v>
      </c>
      <c r="W192" s="534">
        <f t="shared" si="137"/>
        <v>19</v>
      </c>
      <c r="X192" s="533"/>
      <c r="Y192" s="533"/>
      <c r="Z192" s="533">
        <v>19</v>
      </c>
      <c r="AA192" s="533"/>
      <c r="AB192" s="316" t="s">
        <v>1308</v>
      </c>
      <c r="AC192" s="380">
        <f t="shared" si="111"/>
        <v>0</v>
      </c>
      <c r="AJ192" s="408" t="s">
        <v>1308</v>
      </c>
    </row>
    <row r="193" spans="1:43" s="417" customFormat="1" ht="48.75" customHeight="1">
      <c r="A193" s="328" t="s">
        <v>467</v>
      </c>
      <c r="B193" s="492" t="s">
        <v>56</v>
      </c>
      <c r="C193" s="15" t="s">
        <v>247</v>
      </c>
      <c r="D193" s="328"/>
      <c r="E193" s="328"/>
      <c r="F193" s="328"/>
      <c r="G193" s="328"/>
      <c r="H193" s="328"/>
      <c r="I193" s="492"/>
      <c r="J193" s="528">
        <f t="shared" ref="J193:AA193" si="138">+SUM(J194:J196)</f>
        <v>107998</v>
      </c>
      <c r="K193" s="528">
        <f t="shared" si="138"/>
        <v>0</v>
      </c>
      <c r="L193" s="528">
        <f t="shared" si="138"/>
        <v>0</v>
      </c>
      <c r="M193" s="528">
        <f t="shared" si="138"/>
        <v>107998</v>
      </c>
      <c r="N193" s="528">
        <f t="shared" si="138"/>
        <v>28629</v>
      </c>
      <c r="O193" s="528">
        <f t="shared" si="138"/>
        <v>0</v>
      </c>
      <c r="P193" s="528">
        <f t="shared" si="138"/>
        <v>0</v>
      </c>
      <c r="Q193" s="528">
        <f t="shared" si="138"/>
        <v>28629</v>
      </c>
      <c r="R193" s="528">
        <f t="shared" si="138"/>
        <v>28629</v>
      </c>
      <c r="S193" s="528">
        <f t="shared" si="138"/>
        <v>0</v>
      </c>
      <c r="T193" s="528">
        <f t="shared" si="138"/>
        <v>0</v>
      </c>
      <c r="U193" s="528">
        <f t="shared" si="138"/>
        <v>28629</v>
      </c>
      <c r="V193" s="528">
        <f t="shared" si="138"/>
        <v>77292</v>
      </c>
      <c r="W193" s="528">
        <f>+SUM(W194:W196)</f>
        <v>40798</v>
      </c>
      <c r="X193" s="528">
        <f t="shared" si="138"/>
        <v>0</v>
      </c>
      <c r="Y193" s="528">
        <f t="shared" si="138"/>
        <v>0</v>
      </c>
      <c r="Z193" s="528">
        <f t="shared" si="138"/>
        <v>40798</v>
      </c>
      <c r="AA193" s="528">
        <f t="shared" si="138"/>
        <v>0</v>
      </c>
      <c r="AB193" s="481"/>
      <c r="AC193" s="380">
        <f t="shared" si="111"/>
        <v>0</v>
      </c>
    </row>
    <row r="194" spans="1:43" s="8" customFormat="1" ht="55.5" customHeight="1">
      <c r="A194" s="430" t="s">
        <v>144</v>
      </c>
      <c r="B194" s="25" t="s">
        <v>256</v>
      </c>
      <c r="C194" s="15" t="s">
        <v>247</v>
      </c>
      <c r="D194" s="13">
        <v>7928230</v>
      </c>
      <c r="E194" s="316" t="s">
        <v>250</v>
      </c>
      <c r="F194" s="13" t="s">
        <v>217</v>
      </c>
      <c r="G194" s="316"/>
      <c r="H194" s="13" t="s">
        <v>257</v>
      </c>
      <c r="I194" s="13" t="s">
        <v>258</v>
      </c>
      <c r="J194" s="28">
        <f>SUM(K194:M194)</f>
        <v>85200</v>
      </c>
      <c r="K194" s="28">
        <v>0</v>
      </c>
      <c r="L194" s="28">
        <v>0</v>
      </c>
      <c r="M194" s="399">
        <v>85200</v>
      </c>
      <c r="N194" s="28">
        <f>SUM(O194:Q194)</f>
        <v>20500</v>
      </c>
      <c r="O194" s="28">
        <v>0</v>
      </c>
      <c r="P194" s="28">
        <v>0</v>
      </c>
      <c r="Q194" s="533">
        <v>20500</v>
      </c>
      <c r="R194" s="28">
        <f>SUM(S194:U194)</f>
        <v>20500</v>
      </c>
      <c r="S194" s="28">
        <v>0</v>
      </c>
      <c r="T194" s="28">
        <v>0</v>
      </c>
      <c r="U194" s="407">
        <v>20500</v>
      </c>
      <c r="V194" s="407">
        <v>64700</v>
      </c>
      <c r="W194" s="407">
        <f>SUM(X194:AA194)</f>
        <v>33000</v>
      </c>
      <c r="X194" s="407"/>
      <c r="Y194" s="407"/>
      <c r="Z194" s="407">
        <v>33000</v>
      </c>
      <c r="AA194" s="407"/>
      <c r="AB194" s="349" t="s">
        <v>1622</v>
      </c>
      <c r="AC194" s="380">
        <f t="shared" si="111"/>
        <v>0</v>
      </c>
      <c r="AJ194" s="338" t="s">
        <v>685</v>
      </c>
    </row>
    <row r="195" spans="1:43" s="8" customFormat="1" ht="45.75" customHeight="1">
      <c r="A195" s="430" t="s">
        <v>144</v>
      </c>
      <c r="B195" s="27" t="s">
        <v>259</v>
      </c>
      <c r="C195" s="15" t="s">
        <v>247</v>
      </c>
      <c r="D195" s="13">
        <v>7910992</v>
      </c>
      <c r="E195" s="316" t="s">
        <v>250</v>
      </c>
      <c r="F195" s="13" t="s">
        <v>217</v>
      </c>
      <c r="G195" s="316"/>
      <c r="H195" s="13" t="s">
        <v>207</v>
      </c>
      <c r="I195" s="13" t="s">
        <v>260</v>
      </c>
      <c r="J195" s="28">
        <f>SUM(K195:M195)</f>
        <v>17900</v>
      </c>
      <c r="K195" s="28">
        <v>0</v>
      </c>
      <c r="L195" s="28">
        <v>0</v>
      </c>
      <c r="M195" s="399">
        <v>17900</v>
      </c>
      <c r="N195" s="28">
        <f>SUM(O195:Q195)</f>
        <v>5129</v>
      </c>
      <c r="O195" s="28">
        <v>0</v>
      </c>
      <c r="P195" s="28">
        <v>0</v>
      </c>
      <c r="Q195" s="533">
        <v>5129</v>
      </c>
      <c r="R195" s="28">
        <f>SUM(S195:U195)</f>
        <v>5129</v>
      </c>
      <c r="S195" s="28">
        <v>0</v>
      </c>
      <c r="T195" s="28">
        <v>0</v>
      </c>
      <c r="U195" s="407">
        <v>5129</v>
      </c>
      <c r="V195" s="407">
        <v>10694</v>
      </c>
      <c r="W195" s="407">
        <f t="shared" ref="W195:W196" si="139">SUM(X195:AA195)</f>
        <v>6000</v>
      </c>
      <c r="X195" s="407"/>
      <c r="Y195" s="407"/>
      <c r="Z195" s="407">
        <v>6000</v>
      </c>
      <c r="AA195" s="407"/>
      <c r="AB195" s="349" t="s">
        <v>1622</v>
      </c>
      <c r="AC195" s="380">
        <f t="shared" si="111"/>
        <v>0</v>
      </c>
      <c r="AJ195" s="338" t="s">
        <v>685</v>
      </c>
    </row>
    <row r="196" spans="1:43" s="8" customFormat="1" ht="53.25" customHeight="1">
      <c r="A196" s="430" t="s">
        <v>144</v>
      </c>
      <c r="B196" s="27" t="s">
        <v>261</v>
      </c>
      <c r="C196" s="15" t="s">
        <v>247</v>
      </c>
      <c r="D196" s="13">
        <v>7910160</v>
      </c>
      <c r="E196" s="316" t="s">
        <v>250</v>
      </c>
      <c r="F196" s="13" t="s">
        <v>262</v>
      </c>
      <c r="G196" s="316"/>
      <c r="H196" s="13" t="s">
        <v>41</v>
      </c>
      <c r="I196" s="13" t="s">
        <v>263</v>
      </c>
      <c r="J196" s="28">
        <f>SUM(K196:M196)</f>
        <v>4898</v>
      </c>
      <c r="K196" s="28">
        <v>0</v>
      </c>
      <c r="L196" s="28">
        <v>0</v>
      </c>
      <c r="M196" s="399">
        <v>4898</v>
      </c>
      <c r="N196" s="28">
        <f>SUM(O196:Q196)</f>
        <v>3000</v>
      </c>
      <c r="O196" s="28">
        <v>0</v>
      </c>
      <c r="P196" s="28">
        <v>0</v>
      </c>
      <c r="Q196" s="533">
        <v>3000</v>
      </c>
      <c r="R196" s="28">
        <f>SUM(S196:U196)</f>
        <v>3000</v>
      </c>
      <c r="S196" s="28">
        <v>0</v>
      </c>
      <c r="T196" s="28">
        <v>0</v>
      </c>
      <c r="U196" s="407">
        <v>3000</v>
      </c>
      <c r="V196" s="407">
        <v>1898</v>
      </c>
      <c r="W196" s="407">
        <f t="shared" si="139"/>
        <v>1798</v>
      </c>
      <c r="X196" s="407"/>
      <c r="Y196" s="407"/>
      <c r="Z196" s="407">
        <v>1798</v>
      </c>
      <c r="AA196" s="407"/>
      <c r="AB196" s="349" t="s">
        <v>1622</v>
      </c>
      <c r="AC196" s="380">
        <f t="shared" si="111"/>
        <v>0</v>
      </c>
      <c r="AJ196" s="338" t="s">
        <v>685</v>
      </c>
    </row>
    <row r="197" spans="1:43" s="417" customFormat="1" ht="28.5" customHeight="1">
      <c r="A197" s="327" t="s">
        <v>1306</v>
      </c>
      <c r="B197" s="413" t="s">
        <v>1307</v>
      </c>
      <c r="C197" s="15" t="s">
        <v>247</v>
      </c>
      <c r="D197" s="494"/>
      <c r="E197" s="494"/>
      <c r="F197" s="494"/>
      <c r="G197" s="494"/>
      <c r="H197" s="494"/>
      <c r="I197" s="327"/>
      <c r="J197" s="331"/>
      <c r="K197" s="331"/>
      <c r="L197" s="331"/>
      <c r="M197" s="331"/>
      <c r="N197" s="331"/>
      <c r="O197" s="331"/>
      <c r="P197" s="331"/>
      <c r="Q197" s="331"/>
      <c r="R197" s="331"/>
      <c r="S197" s="331"/>
      <c r="T197" s="331"/>
      <c r="U197" s="331"/>
      <c r="V197" s="331"/>
      <c r="W197" s="331"/>
      <c r="X197" s="331"/>
      <c r="Y197" s="331"/>
      <c r="Z197" s="331"/>
      <c r="AA197" s="331"/>
      <c r="AB197" s="332"/>
      <c r="AC197" s="380">
        <f t="shared" si="111"/>
        <v>0</v>
      </c>
    </row>
    <row r="198" spans="1:43" s="501" customFormat="1" ht="40.5" customHeight="1">
      <c r="A198" s="389">
        <v>2</v>
      </c>
      <c r="B198" s="538" t="s">
        <v>1677</v>
      </c>
      <c r="C198" s="315" t="s">
        <v>1677</v>
      </c>
      <c r="D198" s="475"/>
      <c r="E198" s="475"/>
      <c r="F198" s="475"/>
      <c r="G198" s="475"/>
      <c r="H198" s="475"/>
      <c r="I198" s="389"/>
      <c r="J198" s="391">
        <f>+J199</f>
        <v>6992</v>
      </c>
      <c r="K198" s="391">
        <f t="shared" ref="K198:AA198" si="140">+K199</f>
        <v>0</v>
      </c>
      <c r="L198" s="391">
        <f t="shared" si="140"/>
        <v>0</v>
      </c>
      <c r="M198" s="391">
        <f t="shared" si="140"/>
        <v>6992</v>
      </c>
      <c r="N198" s="391">
        <f t="shared" si="140"/>
        <v>1746</v>
      </c>
      <c r="O198" s="391">
        <f t="shared" si="140"/>
        <v>0</v>
      </c>
      <c r="P198" s="391">
        <f t="shared" si="140"/>
        <v>0</v>
      </c>
      <c r="Q198" s="391">
        <f t="shared" si="140"/>
        <v>1746</v>
      </c>
      <c r="R198" s="391">
        <f t="shared" si="140"/>
        <v>1757</v>
      </c>
      <c r="S198" s="391">
        <f t="shared" si="140"/>
        <v>0</v>
      </c>
      <c r="T198" s="391">
        <f t="shared" si="140"/>
        <v>0</v>
      </c>
      <c r="U198" s="391">
        <f t="shared" si="140"/>
        <v>1757</v>
      </c>
      <c r="V198" s="391">
        <f t="shared" si="140"/>
        <v>10</v>
      </c>
      <c r="W198" s="391">
        <f t="shared" si="140"/>
        <v>10</v>
      </c>
      <c r="X198" s="391">
        <f t="shared" si="140"/>
        <v>0</v>
      </c>
      <c r="Y198" s="391">
        <f t="shared" si="140"/>
        <v>0</v>
      </c>
      <c r="Z198" s="391">
        <f t="shared" si="140"/>
        <v>10</v>
      </c>
      <c r="AA198" s="391">
        <f t="shared" si="140"/>
        <v>0</v>
      </c>
      <c r="AB198" s="392"/>
      <c r="AC198" s="380">
        <f t="shared" si="111"/>
        <v>0</v>
      </c>
    </row>
    <row r="199" spans="1:43" s="10" customFormat="1" ht="26.25" customHeight="1">
      <c r="A199" s="442" t="s">
        <v>1287</v>
      </c>
      <c r="B199" s="394" t="s">
        <v>38</v>
      </c>
      <c r="C199" s="15" t="s">
        <v>247</v>
      </c>
      <c r="D199" s="329"/>
      <c r="E199" s="329"/>
      <c r="F199" s="329"/>
      <c r="G199" s="329"/>
      <c r="H199" s="329"/>
      <c r="I199" s="330"/>
      <c r="J199" s="529">
        <f>+J200</f>
        <v>6992</v>
      </c>
      <c r="K199" s="529">
        <f t="shared" ref="K199:AA199" si="141">+K200</f>
        <v>0</v>
      </c>
      <c r="L199" s="529">
        <f t="shared" si="141"/>
        <v>0</v>
      </c>
      <c r="M199" s="529">
        <f t="shared" si="141"/>
        <v>6992</v>
      </c>
      <c r="N199" s="529">
        <f t="shared" si="141"/>
        <v>1746</v>
      </c>
      <c r="O199" s="529">
        <f t="shared" si="141"/>
        <v>0</v>
      </c>
      <c r="P199" s="529">
        <f t="shared" si="141"/>
        <v>0</v>
      </c>
      <c r="Q199" s="529">
        <f t="shared" si="141"/>
        <v>1746</v>
      </c>
      <c r="R199" s="529">
        <f t="shared" si="141"/>
        <v>1757</v>
      </c>
      <c r="S199" s="529">
        <f t="shared" si="141"/>
        <v>0</v>
      </c>
      <c r="T199" s="529">
        <f t="shared" si="141"/>
        <v>0</v>
      </c>
      <c r="U199" s="529">
        <f t="shared" si="141"/>
        <v>1757</v>
      </c>
      <c r="V199" s="529">
        <f t="shared" si="141"/>
        <v>10</v>
      </c>
      <c r="W199" s="529">
        <f t="shared" si="141"/>
        <v>10</v>
      </c>
      <c r="X199" s="529">
        <f t="shared" si="141"/>
        <v>0</v>
      </c>
      <c r="Y199" s="529">
        <f t="shared" si="141"/>
        <v>0</v>
      </c>
      <c r="Z199" s="529">
        <f t="shared" si="141"/>
        <v>10</v>
      </c>
      <c r="AA199" s="529">
        <f t="shared" si="141"/>
        <v>0</v>
      </c>
      <c r="AB199" s="530"/>
      <c r="AC199" s="380">
        <f t="shared" si="111"/>
        <v>0</v>
      </c>
    </row>
    <row r="200" spans="1:43" s="10" customFormat="1" ht="30.75" customHeight="1">
      <c r="A200" s="327" t="s">
        <v>39</v>
      </c>
      <c r="B200" s="326" t="s">
        <v>1254</v>
      </c>
      <c r="C200" s="15" t="s">
        <v>247</v>
      </c>
      <c r="D200" s="329"/>
      <c r="E200" s="329"/>
      <c r="F200" s="329"/>
      <c r="G200" s="329"/>
      <c r="H200" s="329"/>
      <c r="I200" s="330"/>
      <c r="J200" s="531">
        <f>+J201</f>
        <v>6992</v>
      </c>
      <c r="K200" s="531">
        <f t="shared" ref="K200:Z200" si="142">+K201</f>
        <v>0</v>
      </c>
      <c r="L200" s="531">
        <f t="shared" si="142"/>
        <v>0</v>
      </c>
      <c r="M200" s="531">
        <f t="shared" si="142"/>
        <v>6992</v>
      </c>
      <c r="N200" s="531">
        <f t="shared" si="142"/>
        <v>1746</v>
      </c>
      <c r="O200" s="531">
        <f t="shared" si="142"/>
        <v>0</v>
      </c>
      <c r="P200" s="531">
        <f t="shared" si="142"/>
        <v>0</v>
      </c>
      <c r="Q200" s="531">
        <f t="shared" si="142"/>
        <v>1746</v>
      </c>
      <c r="R200" s="531">
        <f t="shared" si="142"/>
        <v>1757</v>
      </c>
      <c r="S200" s="531">
        <f t="shared" si="142"/>
        <v>0</v>
      </c>
      <c r="T200" s="531">
        <f t="shared" si="142"/>
        <v>0</v>
      </c>
      <c r="U200" s="531">
        <f t="shared" si="142"/>
        <v>1757</v>
      </c>
      <c r="V200" s="531">
        <f t="shared" si="142"/>
        <v>10</v>
      </c>
      <c r="W200" s="531">
        <f t="shared" si="142"/>
        <v>10</v>
      </c>
      <c r="X200" s="531">
        <f t="shared" si="142"/>
        <v>0</v>
      </c>
      <c r="Y200" s="531">
        <f t="shared" si="142"/>
        <v>0</v>
      </c>
      <c r="Z200" s="531">
        <f t="shared" si="142"/>
        <v>10</v>
      </c>
      <c r="AA200" s="531">
        <f t="shared" ref="AA200" si="143">+AA201</f>
        <v>0</v>
      </c>
      <c r="AB200" s="532"/>
      <c r="AC200" s="380">
        <f t="shared" si="111"/>
        <v>0</v>
      </c>
    </row>
    <row r="201" spans="1:43" s="7" customFormat="1" ht="34.5" customHeight="1">
      <c r="A201" s="32" t="s">
        <v>144</v>
      </c>
      <c r="B201" s="315" t="s">
        <v>485</v>
      </c>
      <c r="C201" s="15" t="s">
        <v>1689</v>
      </c>
      <c r="D201" s="313">
        <v>8134805</v>
      </c>
      <c r="E201" s="313">
        <v>131</v>
      </c>
      <c r="F201" s="13" t="s">
        <v>496</v>
      </c>
      <c r="G201" s="33"/>
      <c r="H201" s="313">
        <v>2025</v>
      </c>
      <c r="I201" s="406" t="s">
        <v>487</v>
      </c>
      <c r="J201" s="446">
        <f>K201+L201+M201</f>
        <v>6992</v>
      </c>
      <c r="K201" s="28"/>
      <c r="L201" s="28"/>
      <c r="M201" s="539">
        <v>6992</v>
      </c>
      <c r="N201" s="28">
        <f>SUM(O201:Q201)</f>
        <v>1746</v>
      </c>
      <c r="O201" s="399"/>
      <c r="P201" s="399"/>
      <c r="Q201" s="399">
        <v>1746</v>
      </c>
      <c r="R201" s="28">
        <f>SUM(S201:U201)</f>
        <v>1757</v>
      </c>
      <c r="S201" s="399"/>
      <c r="T201" s="399"/>
      <c r="U201" s="399">
        <v>1757</v>
      </c>
      <c r="V201" s="399">
        <v>10</v>
      </c>
      <c r="W201" s="110">
        <f>SUM(X201:AA201)</f>
        <v>10</v>
      </c>
      <c r="X201" s="399"/>
      <c r="Y201" s="399"/>
      <c r="Z201" s="399">
        <v>10</v>
      </c>
      <c r="AA201" s="399"/>
      <c r="AB201" s="94" t="s">
        <v>1308</v>
      </c>
      <c r="AC201" s="380">
        <f t="shared" si="111"/>
        <v>0</v>
      </c>
      <c r="AJ201" s="408" t="s">
        <v>1308</v>
      </c>
      <c r="AP201" s="338"/>
      <c r="AQ201" s="119"/>
    </row>
    <row r="202" spans="1:43" s="231" customFormat="1" ht="23.25" customHeight="1">
      <c r="A202" s="389">
        <v>3</v>
      </c>
      <c r="B202" s="317" t="s">
        <v>1375</v>
      </c>
      <c r="C202" s="317"/>
      <c r="D202" s="451"/>
      <c r="E202" s="451"/>
      <c r="F202" s="451"/>
      <c r="G202" s="451"/>
      <c r="H202" s="451"/>
      <c r="I202" s="452"/>
      <c r="J202" s="499">
        <f>J203</f>
        <v>189177</v>
      </c>
      <c r="K202" s="499">
        <f t="shared" ref="K202:AA202" si="144">K203</f>
        <v>0</v>
      </c>
      <c r="L202" s="499">
        <f t="shared" si="144"/>
        <v>39033</v>
      </c>
      <c r="M202" s="499">
        <f t="shared" si="144"/>
        <v>150144</v>
      </c>
      <c r="N202" s="499">
        <f t="shared" si="144"/>
        <v>134305</v>
      </c>
      <c r="O202" s="499">
        <f t="shared" si="144"/>
        <v>0</v>
      </c>
      <c r="P202" s="499">
        <f t="shared" si="144"/>
        <v>0</v>
      </c>
      <c r="Q202" s="499">
        <f t="shared" si="144"/>
        <v>134305</v>
      </c>
      <c r="R202" s="499">
        <f t="shared" si="144"/>
        <v>134305</v>
      </c>
      <c r="S202" s="499">
        <f t="shared" si="144"/>
        <v>0</v>
      </c>
      <c r="T202" s="499">
        <f t="shared" si="144"/>
        <v>0</v>
      </c>
      <c r="U202" s="499">
        <f t="shared" si="144"/>
        <v>134305</v>
      </c>
      <c r="V202" s="499">
        <f t="shared" si="144"/>
        <v>10036.240488425261</v>
      </c>
      <c r="W202" s="499">
        <f t="shared" si="144"/>
        <v>10036.240488425261</v>
      </c>
      <c r="X202" s="499">
        <f t="shared" si="144"/>
        <v>0</v>
      </c>
      <c r="Y202" s="499">
        <f t="shared" si="144"/>
        <v>0</v>
      </c>
      <c r="Z202" s="499">
        <f t="shared" si="144"/>
        <v>10036.240488425261</v>
      </c>
      <c r="AA202" s="499">
        <f t="shared" si="144"/>
        <v>0</v>
      </c>
      <c r="AB202" s="502"/>
      <c r="AC202" s="380">
        <f t="shared" si="111"/>
        <v>0</v>
      </c>
    </row>
    <row r="203" spans="1:43" s="231" customFormat="1" ht="24" customHeight="1">
      <c r="A203" s="389" t="s">
        <v>1288</v>
      </c>
      <c r="B203" s="317" t="s">
        <v>38</v>
      </c>
      <c r="C203" s="317"/>
      <c r="D203" s="451"/>
      <c r="E203" s="451"/>
      <c r="F203" s="451"/>
      <c r="G203" s="451"/>
      <c r="H203" s="451"/>
      <c r="I203" s="452"/>
      <c r="J203" s="499">
        <f>J204+J208</f>
        <v>189177</v>
      </c>
      <c r="K203" s="499">
        <f t="shared" ref="K203" si="145">K204+K208</f>
        <v>0</v>
      </c>
      <c r="L203" s="499">
        <f t="shared" ref="L203" si="146">L204+L208</f>
        <v>39033</v>
      </c>
      <c r="M203" s="499">
        <f t="shared" ref="M203" si="147">M204+M208</f>
        <v>150144</v>
      </c>
      <c r="N203" s="499">
        <f t="shared" ref="N203" si="148">N204+N208</f>
        <v>134305</v>
      </c>
      <c r="O203" s="499">
        <f t="shared" ref="O203" si="149">O204+O208</f>
        <v>0</v>
      </c>
      <c r="P203" s="499">
        <f t="shared" ref="P203" si="150">P204+P208</f>
        <v>0</v>
      </c>
      <c r="Q203" s="499">
        <f t="shared" ref="Q203" si="151">Q204+Q208</f>
        <v>134305</v>
      </c>
      <c r="R203" s="499">
        <f t="shared" ref="R203" si="152">R204+R208</f>
        <v>134305</v>
      </c>
      <c r="S203" s="499">
        <f t="shared" ref="S203" si="153">S204+S208</f>
        <v>0</v>
      </c>
      <c r="T203" s="499">
        <f t="shared" ref="T203" si="154">T204+T208</f>
        <v>0</v>
      </c>
      <c r="U203" s="499">
        <f t="shared" ref="U203" si="155">U204+U208</f>
        <v>134305</v>
      </c>
      <c r="V203" s="499">
        <f t="shared" ref="V203" si="156">V204+V208</f>
        <v>10036.240488425261</v>
      </c>
      <c r="W203" s="499">
        <f t="shared" ref="W203" si="157">W204+W208</f>
        <v>10036.240488425261</v>
      </c>
      <c r="X203" s="499">
        <f t="shared" ref="X203" si="158">X204+X208</f>
        <v>0</v>
      </c>
      <c r="Y203" s="499">
        <f t="shared" ref="Y203" si="159">Y204+Y208</f>
        <v>0</v>
      </c>
      <c r="Z203" s="499">
        <f t="shared" ref="Z203" si="160">Z204+Z208</f>
        <v>10036.240488425261</v>
      </c>
      <c r="AA203" s="499">
        <f t="shared" ref="AA203" si="161">AA204+AA208</f>
        <v>0</v>
      </c>
      <c r="AB203" s="502"/>
      <c r="AC203" s="380">
        <f t="shared" si="111"/>
        <v>0</v>
      </c>
    </row>
    <row r="204" spans="1:43" s="231" customFormat="1" ht="30.75" customHeight="1">
      <c r="A204" s="327" t="s">
        <v>39</v>
      </c>
      <c r="B204" s="326" t="s">
        <v>1254</v>
      </c>
      <c r="C204" s="317"/>
      <c r="D204" s="451"/>
      <c r="E204" s="451"/>
      <c r="F204" s="451"/>
      <c r="G204" s="451"/>
      <c r="H204" s="451"/>
      <c r="I204" s="452"/>
      <c r="J204" s="531">
        <f>+J205+J206+J207</f>
        <v>189177</v>
      </c>
      <c r="K204" s="531">
        <f t="shared" ref="K204:AA204" si="162">+K205+K206+K207</f>
        <v>0</v>
      </c>
      <c r="L204" s="531">
        <f t="shared" si="162"/>
        <v>39033</v>
      </c>
      <c r="M204" s="531">
        <f t="shared" si="162"/>
        <v>150144</v>
      </c>
      <c r="N204" s="531">
        <f t="shared" si="162"/>
        <v>134305</v>
      </c>
      <c r="O204" s="531">
        <f t="shared" si="162"/>
        <v>0</v>
      </c>
      <c r="P204" s="531">
        <f t="shared" si="162"/>
        <v>0</v>
      </c>
      <c r="Q204" s="531">
        <f t="shared" si="162"/>
        <v>134305</v>
      </c>
      <c r="R204" s="531">
        <f t="shared" si="162"/>
        <v>134305</v>
      </c>
      <c r="S204" s="531">
        <f t="shared" si="162"/>
        <v>0</v>
      </c>
      <c r="T204" s="531">
        <f t="shared" si="162"/>
        <v>0</v>
      </c>
      <c r="U204" s="531">
        <f t="shared" si="162"/>
        <v>134305</v>
      </c>
      <c r="V204" s="531">
        <f t="shared" si="162"/>
        <v>10036.240488425261</v>
      </c>
      <c r="W204" s="531">
        <f>+W205+W206+W207</f>
        <v>10036.240488425261</v>
      </c>
      <c r="X204" s="531">
        <f t="shared" si="162"/>
        <v>0</v>
      </c>
      <c r="Y204" s="531">
        <f t="shared" si="162"/>
        <v>0</v>
      </c>
      <c r="Z204" s="531">
        <f t="shared" si="162"/>
        <v>10036.240488425261</v>
      </c>
      <c r="AA204" s="531">
        <f t="shared" si="162"/>
        <v>0</v>
      </c>
      <c r="AB204" s="502"/>
      <c r="AC204" s="380">
        <f t="shared" si="111"/>
        <v>0</v>
      </c>
    </row>
    <row r="205" spans="1:43" s="231" customFormat="1" ht="99.75" customHeight="1">
      <c r="A205" s="479" t="s">
        <v>144</v>
      </c>
      <c r="B205" s="15" t="s">
        <v>1684</v>
      </c>
      <c r="C205" s="13" t="s">
        <v>1375</v>
      </c>
      <c r="D205" s="33">
        <v>7707114</v>
      </c>
      <c r="E205" s="451"/>
      <c r="F205" s="349" t="s">
        <v>1698</v>
      </c>
      <c r="G205" s="451"/>
      <c r="H205" s="349" t="s">
        <v>1699</v>
      </c>
      <c r="I205" s="13" t="s">
        <v>1690</v>
      </c>
      <c r="J205" s="540">
        <v>39201</v>
      </c>
      <c r="K205" s="499"/>
      <c r="L205" s="540"/>
      <c r="M205" s="540">
        <v>39201</v>
      </c>
      <c r="N205" s="540">
        <v>34173</v>
      </c>
      <c r="O205" s="499"/>
      <c r="P205" s="499"/>
      <c r="Q205" s="540">
        <v>34173</v>
      </c>
      <c r="R205" s="540">
        <v>34173</v>
      </c>
      <c r="S205" s="540"/>
      <c r="T205" s="540"/>
      <c r="U205" s="540">
        <v>34173</v>
      </c>
      <c r="V205" s="540">
        <v>1869.2404884252601</v>
      </c>
      <c r="W205" s="110">
        <f t="shared" ref="W205:W206" si="163">SUM(X205:AA205)</f>
        <v>1869.2404884252601</v>
      </c>
      <c r="X205" s="540"/>
      <c r="Y205" s="499"/>
      <c r="Z205" s="540">
        <v>1869.2404884252601</v>
      </c>
      <c r="AA205" s="499"/>
      <c r="AB205" s="541" t="s">
        <v>1308</v>
      </c>
      <c r="AC205" s="380">
        <f t="shared" si="111"/>
        <v>0</v>
      </c>
      <c r="AJ205" s="408" t="s">
        <v>1308</v>
      </c>
    </row>
    <row r="206" spans="1:43" s="231" customFormat="1" ht="76.5" customHeight="1">
      <c r="A206" s="479" t="s">
        <v>144</v>
      </c>
      <c r="B206" s="15" t="s">
        <v>1685</v>
      </c>
      <c r="C206" s="13" t="s">
        <v>1375</v>
      </c>
      <c r="D206" s="33">
        <v>7581249</v>
      </c>
      <c r="E206" s="451"/>
      <c r="F206" s="349" t="s">
        <v>1700</v>
      </c>
      <c r="G206" s="451"/>
      <c r="H206" s="349" t="s">
        <v>1699</v>
      </c>
      <c r="I206" s="13" t="s">
        <v>1691</v>
      </c>
      <c r="J206" s="540">
        <v>64949</v>
      </c>
      <c r="K206" s="499"/>
      <c r="L206" s="540">
        <v>1638</v>
      </c>
      <c r="M206" s="540">
        <v>63311</v>
      </c>
      <c r="N206" s="540">
        <v>60132</v>
      </c>
      <c r="O206" s="499"/>
      <c r="P206" s="499"/>
      <c r="Q206" s="540">
        <v>60132</v>
      </c>
      <c r="R206" s="540">
        <v>60132</v>
      </c>
      <c r="S206" s="540"/>
      <c r="T206" s="540"/>
      <c r="U206" s="540">
        <v>60132</v>
      </c>
      <c r="V206" s="540">
        <v>1029</v>
      </c>
      <c r="W206" s="110">
        <f t="shared" si="163"/>
        <v>1029</v>
      </c>
      <c r="X206" s="540"/>
      <c r="Y206" s="499"/>
      <c r="Z206" s="540">
        <v>1029</v>
      </c>
      <c r="AA206" s="499"/>
      <c r="AB206" s="541" t="s">
        <v>1308</v>
      </c>
      <c r="AC206" s="380">
        <f t="shared" si="111"/>
        <v>0</v>
      </c>
      <c r="AJ206" s="408" t="s">
        <v>1308</v>
      </c>
    </row>
    <row r="207" spans="1:43" s="231" customFormat="1" ht="66.75" customHeight="1">
      <c r="A207" s="479" t="s">
        <v>144</v>
      </c>
      <c r="B207" s="15" t="s">
        <v>1686</v>
      </c>
      <c r="C207" s="13" t="s">
        <v>1375</v>
      </c>
      <c r="D207" s="33">
        <v>7017240</v>
      </c>
      <c r="E207" s="451"/>
      <c r="F207" s="349" t="s">
        <v>274</v>
      </c>
      <c r="G207" s="451"/>
      <c r="H207" s="349" t="s">
        <v>818</v>
      </c>
      <c r="I207" s="13" t="s">
        <v>1692</v>
      </c>
      <c r="J207" s="540">
        <v>85027</v>
      </c>
      <c r="K207" s="499"/>
      <c r="L207" s="540">
        <v>37395</v>
      </c>
      <c r="M207" s="540">
        <v>47632</v>
      </c>
      <c r="N207" s="540">
        <v>40000</v>
      </c>
      <c r="O207" s="499"/>
      <c r="P207" s="499"/>
      <c r="Q207" s="540">
        <v>40000</v>
      </c>
      <c r="R207" s="540">
        <v>40000</v>
      </c>
      <c r="S207" s="540"/>
      <c r="T207" s="540"/>
      <c r="U207" s="540">
        <v>40000</v>
      </c>
      <c r="V207" s="540">
        <v>7138</v>
      </c>
      <c r="W207" s="110">
        <f>SUM(X207:AA207)</f>
        <v>7138</v>
      </c>
      <c r="X207" s="540"/>
      <c r="Y207" s="499"/>
      <c r="Z207" s="540">
        <v>7138</v>
      </c>
      <c r="AA207" s="499"/>
      <c r="AB207" s="541" t="s">
        <v>1308</v>
      </c>
      <c r="AC207" s="380">
        <f t="shared" si="111"/>
        <v>0</v>
      </c>
      <c r="AJ207" s="408" t="s">
        <v>1308</v>
      </c>
    </row>
    <row r="208" spans="1:43" s="422" customFormat="1" ht="51.75" customHeight="1">
      <c r="A208" s="479" t="s">
        <v>467</v>
      </c>
      <c r="B208" s="400" t="s">
        <v>183</v>
      </c>
      <c r="C208" s="328"/>
      <c r="D208" s="327"/>
      <c r="E208" s="444"/>
      <c r="F208" s="444"/>
      <c r="G208" s="444"/>
      <c r="H208" s="444"/>
      <c r="I208" s="328"/>
      <c r="J208" s="531"/>
      <c r="K208" s="531"/>
      <c r="L208" s="531"/>
      <c r="M208" s="531"/>
      <c r="N208" s="531"/>
      <c r="O208" s="531"/>
      <c r="P208" s="531"/>
      <c r="Q208" s="531"/>
      <c r="R208" s="531"/>
      <c r="S208" s="531"/>
      <c r="T208" s="531"/>
      <c r="U208" s="531"/>
      <c r="V208" s="531"/>
      <c r="W208" s="531"/>
      <c r="X208" s="531"/>
      <c r="Y208" s="531"/>
      <c r="Z208" s="531"/>
      <c r="AA208" s="531"/>
      <c r="AB208" s="542"/>
      <c r="AC208" s="380">
        <f t="shared" si="111"/>
        <v>0</v>
      </c>
    </row>
    <row r="209" spans="1:36" s="8" customFormat="1" ht="26.25" customHeight="1">
      <c r="A209" s="389" t="s">
        <v>298</v>
      </c>
      <c r="B209" s="317" t="s">
        <v>663</v>
      </c>
      <c r="C209" s="320"/>
      <c r="D209" s="123"/>
      <c r="E209" s="123"/>
      <c r="F209" s="123"/>
      <c r="G209" s="123"/>
      <c r="H209" s="123"/>
      <c r="I209" s="390"/>
      <c r="J209" s="391">
        <f>+J210+J216+J222+J228+J244+J250+J256+J262+J268+J272+J277</f>
        <v>511717</v>
      </c>
      <c r="K209" s="391">
        <f t="shared" ref="K209:AA209" si="164">+K210+K216+K222+K228+K244+K250+K256+K262+K268+K272+K277</f>
        <v>0</v>
      </c>
      <c r="L209" s="391">
        <f t="shared" si="164"/>
        <v>0</v>
      </c>
      <c r="M209" s="391">
        <f t="shared" si="164"/>
        <v>511217</v>
      </c>
      <c r="N209" s="391">
        <f>+N210+N216+N222+N228+N244+N250+N256+N262+N268+N272+N277</f>
        <v>353855.98406599998</v>
      </c>
      <c r="O209" s="391">
        <f t="shared" si="164"/>
        <v>0</v>
      </c>
      <c r="P209" s="391">
        <f t="shared" si="164"/>
        <v>0</v>
      </c>
      <c r="Q209" s="391">
        <f t="shared" si="164"/>
        <v>353855.98406599998</v>
      </c>
      <c r="R209" s="391">
        <f t="shared" si="164"/>
        <v>371394.08199999999</v>
      </c>
      <c r="S209" s="391">
        <f t="shared" si="164"/>
        <v>0</v>
      </c>
      <c r="T209" s="391">
        <f t="shared" si="164"/>
        <v>0</v>
      </c>
      <c r="U209" s="391">
        <f t="shared" si="164"/>
        <v>371394.08199999999</v>
      </c>
      <c r="V209" s="391">
        <f t="shared" si="164"/>
        <v>121427</v>
      </c>
      <c r="W209" s="391">
        <f t="shared" si="164"/>
        <v>118927.4</v>
      </c>
      <c r="X209" s="391">
        <f t="shared" si="164"/>
        <v>31926</v>
      </c>
      <c r="Y209" s="391">
        <f t="shared" si="164"/>
        <v>39666.400000000001</v>
      </c>
      <c r="Z209" s="391">
        <f t="shared" si="164"/>
        <v>47335</v>
      </c>
      <c r="AA209" s="391">
        <f t="shared" si="164"/>
        <v>0</v>
      </c>
      <c r="AB209" s="392"/>
      <c r="AC209" s="380">
        <f t="shared" si="111"/>
        <v>0</v>
      </c>
    </row>
    <row r="210" spans="1:36" s="231" customFormat="1" ht="37.5" customHeight="1">
      <c r="A210" s="389">
        <v>1</v>
      </c>
      <c r="B210" s="543" t="s">
        <v>234</v>
      </c>
      <c r="C210" s="543" t="s">
        <v>234</v>
      </c>
      <c r="D210" s="451"/>
      <c r="E210" s="451"/>
      <c r="F210" s="451"/>
      <c r="G210" s="451"/>
      <c r="H210" s="451"/>
      <c r="I210" s="452"/>
      <c r="J210" s="391">
        <f t="shared" ref="J210:AA210" si="165">+J211</f>
        <v>16261</v>
      </c>
      <c r="K210" s="391">
        <f t="shared" si="165"/>
        <v>0</v>
      </c>
      <c r="L210" s="391">
        <f t="shared" si="165"/>
        <v>0</v>
      </c>
      <c r="M210" s="391">
        <f t="shared" si="165"/>
        <v>16261</v>
      </c>
      <c r="N210" s="391">
        <f t="shared" si="165"/>
        <v>12037.284066</v>
      </c>
      <c r="O210" s="391">
        <f t="shared" si="165"/>
        <v>0</v>
      </c>
      <c r="P210" s="391">
        <f t="shared" si="165"/>
        <v>0</v>
      </c>
      <c r="Q210" s="391">
        <f t="shared" si="165"/>
        <v>12037.284066</v>
      </c>
      <c r="R210" s="391">
        <f t="shared" si="165"/>
        <v>12970.382</v>
      </c>
      <c r="S210" s="391">
        <f t="shared" si="165"/>
        <v>0</v>
      </c>
      <c r="T210" s="391">
        <f t="shared" si="165"/>
        <v>0</v>
      </c>
      <c r="U210" s="391">
        <f t="shared" si="165"/>
        <v>12970.382</v>
      </c>
      <c r="V210" s="391">
        <f t="shared" si="165"/>
        <v>1500</v>
      </c>
      <c r="W210" s="391">
        <f t="shared" si="165"/>
        <v>1500</v>
      </c>
      <c r="X210" s="391">
        <f t="shared" si="165"/>
        <v>0</v>
      </c>
      <c r="Y210" s="391">
        <f t="shared" si="165"/>
        <v>0</v>
      </c>
      <c r="Z210" s="391">
        <f t="shared" si="165"/>
        <v>1500</v>
      </c>
      <c r="AA210" s="391">
        <f t="shared" si="165"/>
        <v>0</v>
      </c>
      <c r="AB210" s="392"/>
      <c r="AC210" s="380">
        <f t="shared" si="111"/>
        <v>0</v>
      </c>
    </row>
    <row r="211" spans="1:36" s="417" customFormat="1" ht="26.25" customHeight="1">
      <c r="A211" s="393" t="s">
        <v>1305</v>
      </c>
      <c r="B211" s="394" t="s">
        <v>38</v>
      </c>
      <c r="C211" s="544" t="s">
        <v>234</v>
      </c>
      <c r="D211" s="421"/>
      <c r="E211" s="421"/>
      <c r="F211" s="421"/>
      <c r="G211" s="421"/>
      <c r="H211" s="421"/>
      <c r="I211" s="421"/>
      <c r="J211" s="453">
        <f t="shared" ref="J211:AA211" si="166">+J212+J213+J215</f>
        <v>16261</v>
      </c>
      <c r="K211" s="453">
        <f t="shared" si="166"/>
        <v>0</v>
      </c>
      <c r="L211" s="453">
        <f t="shared" si="166"/>
        <v>0</v>
      </c>
      <c r="M211" s="453">
        <f t="shared" si="166"/>
        <v>16261</v>
      </c>
      <c r="N211" s="453">
        <f t="shared" si="166"/>
        <v>12037.284066</v>
      </c>
      <c r="O211" s="453">
        <f t="shared" si="166"/>
        <v>0</v>
      </c>
      <c r="P211" s="453">
        <f t="shared" si="166"/>
        <v>0</v>
      </c>
      <c r="Q211" s="453">
        <f t="shared" si="166"/>
        <v>12037.284066</v>
      </c>
      <c r="R211" s="453">
        <f t="shared" si="166"/>
        <v>12970.382</v>
      </c>
      <c r="S211" s="453">
        <f t="shared" si="166"/>
        <v>0</v>
      </c>
      <c r="T211" s="453">
        <f t="shared" si="166"/>
        <v>0</v>
      </c>
      <c r="U211" s="453">
        <f t="shared" si="166"/>
        <v>12970.382</v>
      </c>
      <c r="V211" s="453">
        <f t="shared" si="166"/>
        <v>1500</v>
      </c>
      <c r="W211" s="453">
        <f t="shared" si="166"/>
        <v>1500</v>
      </c>
      <c r="X211" s="453">
        <f t="shared" si="166"/>
        <v>0</v>
      </c>
      <c r="Y211" s="453">
        <f t="shared" si="166"/>
        <v>0</v>
      </c>
      <c r="Z211" s="453">
        <f t="shared" si="166"/>
        <v>1500</v>
      </c>
      <c r="AA211" s="453">
        <f t="shared" si="166"/>
        <v>0</v>
      </c>
      <c r="AB211" s="454"/>
      <c r="AC211" s="380">
        <f t="shared" si="111"/>
        <v>0</v>
      </c>
    </row>
    <row r="212" spans="1:36" s="10" customFormat="1" ht="32.25" customHeight="1">
      <c r="A212" s="398" t="s">
        <v>39</v>
      </c>
      <c r="B212" s="326" t="s">
        <v>1254</v>
      </c>
      <c r="C212" s="544" t="s">
        <v>234</v>
      </c>
      <c r="D212" s="328"/>
      <c r="E212" s="448"/>
      <c r="F212" s="328"/>
      <c r="G212" s="448"/>
      <c r="H212" s="328"/>
      <c r="I212" s="328"/>
      <c r="J212" s="508"/>
      <c r="K212" s="508"/>
      <c r="L212" s="508"/>
      <c r="M212" s="508"/>
      <c r="N212" s="508"/>
      <c r="O212" s="508"/>
      <c r="P212" s="508"/>
      <c r="Q212" s="508"/>
      <c r="R212" s="508"/>
      <c r="S212" s="508"/>
      <c r="T212" s="508"/>
      <c r="U212" s="508"/>
      <c r="V212" s="508"/>
      <c r="W212" s="508"/>
      <c r="X212" s="508"/>
      <c r="Y212" s="508"/>
      <c r="Z212" s="508"/>
      <c r="AA212" s="508"/>
      <c r="AB212" s="509"/>
      <c r="AC212" s="380">
        <f t="shared" si="111"/>
        <v>0</v>
      </c>
    </row>
    <row r="213" spans="1:36" s="417" customFormat="1" ht="50.25" customHeight="1">
      <c r="A213" s="397" t="s">
        <v>467</v>
      </c>
      <c r="B213" s="400" t="s">
        <v>183</v>
      </c>
      <c r="C213" s="544" t="s">
        <v>234</v>
      </c>
      <c r="D213" s="423"/>
      <c r="E213" s="423"/>
      <c r="F213" s="328"/>
      <c r="G213" s="328"/>
      <c r="H213" s="328"/>
      <c r="I213" s="328"/>
      <c r="J213" s="436">
        <f t="shared" ref="J213:AA213" si="167">J214</f>
        <v>16261</v>
      </c>
      <c r="K213" s="436">
        <f t="shared" si="167"/>
        <v>0</v>
      </c>
      <c r="L213" s="436">
        <f t="shared" si="167"/>
        <v>0</v>
      </c>
      <c r="M213" s="436">
        <f t="shared" si="167"/>
        <v>16261</v>
      </c>
      <c r="N213" s="436">
        <f t="shared" si="167"/>
        <v>12037.284066</v>
      </c>
      <c r="O213" s="436">
        <f t="shared" si="167"/>
        <v>0</v>
      </c>
      <c r="P213" s="436">
        <f t="shared" si="167"/>
        <v>0</v>
      </c>
      <c r="Q213" s="436">
        <f t="shared" si="167"/>
        <v>12037.284066</v>
      </c>
      <c r="R213" s="436">
        <f t="shared" si="167"/>
        <v>12970.382</v>
      </c>
      <c r="S213" s="436">
        <f t="shared" si="167"/>
        <v>0</v>
      </c>
      <c r="T213" s="436">
        <f t="shared" si="167"/>
        <v>0</v>
      </c>
      <c r="U213" s="436">
        <f t="shared" si="167"/>
        <v>12970.382</v>
      </c>
      <c r="V213" s="436">
        <f t="shared" si="167"/>
        <v>1500</v>
      </c>
      <c r="W213" s="436">
        <f t="shared" si="167"/>
        <v>1500</v>
      </c>
      <c r="X213" s="436">
        <f t="shared" si="167"/>
        <v>0</v>
      </c>
      <c r="Y213" s="436">
        <f t="shared" si="167"/>
        <v>0</v>
      </c>
      <c r="Z213" s="436">
        <f t="shared" si="167"/>
        <v>1500</v>
      </c>
      <c r="AA213" s="436">
        <f t="shared" si="167"/>
        <v>0</v>
      </c>
      <c r="AB213" s="437"/>
      <c r="AC213" s="380">
        <f t="shared" ref="AC213:AC276" si="168">+W213-X213-Y213-Z213</f>
        <v>0</v>
      </c>
    </row>
    <row r="214" spans="1:36" s="7" customFormat="1" ht="45" customHeight="1">
      <c r="A214" s="26" t="s">
        <v>144</v>
      </c>
      <c r="B214" s="27" t="s">
        <v>264</v>
      </c>
      <c r="C214" s="544" t="s">
        <v>234</v>
      </c>
      <c r="D214" s="13">
        <v>7935736</v>
      </c>
      <c r="E214" s="313">
        <v>161</v>
      </c>
      <c r="F214" s="13" t="s">
        <v>265</v>
      </c>
      <c r="G214" s="545" t="s">
        <v>266</v>
      </c>
      <c r="H214" s="13" t="s">
        <v>244</v>
      </c>
      <c r="I214" s="13" t="s">
        <v>267</v>
      </c>
      <c r="J214" s="113">
        <v>16261</v>
      </c>
      <c r="K214" s="113"/>
      <c r="L214" s="113"/>
      <c r="M214" s="113">
        <v>16261</v>
      </c>
      <c r="N214" s="110">
        <f>O214+P214+Q214</f>
        <v>12037.284066</v>
      </c>
      <c r="O214" s="110"/>
      <c r="P214" s="110"/>
      <c r="Q214" s="110">
        <v>12037.284066</v>
      </c>
      <c r="R214" s="110">
        <f>S214+T214+U214</f>
        <v>12970.382</v>
      </c>
      <c r="S214" s="110"/>
      <c r="T214" s="110"/>
      <c r="U214" s="110">
        <v>12970.382</v>
      </c>
      <c r="V214" s="407">
        <v>1500</v>
      </c>
      <c r="W214" s="110">
        <f>SUM(X214:AA214)</f>
        <v>1500</v>
      </c>
      <c r="X214" s="110"/>
      <c r="Y214" s="110"/>
      <c r="Z214" s="110">
        <v>1500</v>
      </c>
      <c r="AA214" s="110"/>
      <c r="AB214" s="108" t="s">
        <v>1622</v>
      </c>
      <c r="AC214" s="380">
        <f t="shared" si="168"/>
        <v>0</v>
      </c>
      <c r="AJ214" s="408" t="s">
        <v>1821</v>
      </c>
    </row>
    <row r="215" spans="1:36" s="417" customFormat="1" ht="28.5" customHeight="1">
      <c r="A215" s="327" t="s">
        <v>1306</v>
      </c>
      <c r="B215" s="413" t="s">
        <v>1307</v>
      </c>
      <c r="C215" s="544" t="s">
        <v>234</v>
      </c>
      <c r="D215" s="494"/>
      <c r="E215" s="494"/>
      <c r="F215" s="494"/>
      <c r="G215" s="494"/>
      <c r="H215" s="494"/>
      <c r="I215" s="327"/>
      <c r="J215" s="331"/>
      <c r="K215" s="331"/>
      <c r="L215" s="331"/>
      <c r="M215" s="331"/>
      <c r="N215" s="331"/>
      <c r="O215" s="331"/>
      <c r="P215" s="331"/>
      <c r="Q215" s="331"/>
      <c r="R215" s="331"/>
      <c r="S215" s="331"/>
      <c r="T215" s="331"/>
      <c r="U215" s="331"/>
      <c r="V215" s="331"/>
      <c r="W215" s="331"/>
      <c r="X215" s="331"/>
      <c r="Y215" s="331"/>
      <c r="Z215" s="331"/>
      <c r="AA215" s="331"/>
      <c r="AB215" s="332"/>
      <c r="AC215" s="380">
        <f t="shared" si="168"/>
        <v>0</v>
      </c>
    </row>
    <row r="216" spans="1:36" s="549" customFormat="1" ht="30.75" customHeight="1">
      <c r="A216" s="389">
        <v>2</v>
      </c>
      <c r="B216" s="546" t="s">
        <v>268</v>
      </c>
      <c r="C216" s="546" t="s">
        <v>268</v>
      </c>
      <c r="D216" s="547"/>
      <c r="E216" s="547"/>
      <c r="F216" s="547"/>
      <c r="G216" s="547"/>
      <c r="H216" s="547"/>
      <c r="I216" s="389"/>
      <c r="J216" s="548">
        <f t="shared" ref="J216:AA216" si="169">+J217</f>
        <v>28998</v>
      </c>
      <c r="K216" s="548">
        <f t="shared" si="169"/>
        <v>0</v>
      </c>
      <c r="L216" s="548">
        <f t="shared" si="169"/>
        <v>0</v>
      </c>
      <c r="M216" s="548">
        <f t="shared" si="169"/>
        <v>28998</v>
      </c>
      <c r="N216" s="548">
        <f t="shared" si="169"/>
        <v>23800</v>
      </c>
      <c r="O216" s="548">
        <f t="shared" si="169"/>
        <v>0</v>
      </c>
      <c r="P216" s="548">
        <f t="shared" si="169"/>
        <v>0</v>
      </c>
      <c r="Q216" s="548">
        <f t="shared" si="169"/>
        <v>23800</v>
      </c>
      <c r="R216" s="548">
        <f t="shared" si="169"/>
        <v>20113</v>
      </c>
      <c r="S216" s="548">
        <f t="shared" si="169"/>
        <v>0</v>
      </c>
      <c r="T216" s="548">
        <f t="shared" si="169"/>
        <v>0</v>
      </c>
      <c r="U216" s="548">
        <f t="shared" si="169"/>
        <v>20113</v>
      </c>
      <c r="V216" s="548">
        <f t="shared" si="169"/>
        <v>5000</v>
      </c>
      <c r="W216" s="548">
        <f t="shared" si="169"/>
        <v>3500</v>
      </c>
      <c r="X216" s="548">
        <f t="shared" si="169"/>
        <v>0</v>
      </c>
      <c r="Y216" s="548">
        <f t="shared" si="169"/>
        <v>0</v>
      </c>
      <c r="Z216" s="548">
        <f t="shared" si="169"/>
        <v>3500</v>
      </c>
      <c r="AA216" s="548">
        <f t="shared" si="169"/>
        <v>0</v>
      </c>
      <c r="AB216" s="392"/>
      <c r="AC216" s="380">
        <f t="shared" si="168"/>
        <v>0</v>
      </c>
    </row>
    <row r="217" spans="1:36" s="10" customFormat="1" ht="28.5" customHeight="1">
      <c r="A217" s="393" t="s">
        <v>1287</v>
      </c>
      <c r="B217" s="394" t="s">
        <v>38</v>
      </c>
      <c r="C217" s="550" t="s">
        <v>268</v>
      </c>
      <c r="D217" s="421"/>
      <c r="E217" s="394"/>
      <c r="F217" s="419"/>
      <c r="G217" s="419"/>
      <c r="H217" s="420"/>
      <c r="I217" s="421"/>
      <c r="J217" s="453">
        <f t="shared" ref="J217:AA217" si="170">+J219+J218+J221</f>
        <v>28998</v>
      </c>
      <c r="K217" s="453">
        <f t="shared" si="170"/>
        <v>0</v>
      </c>
      <c r="L217" s="453">
        <f t="shared" si="170"/>
        <v>0</v>
      </c>
      <c r="M217" s="453">
        <f t="shared" si="170"/>
        <v>28998</v>
      </c>
      <c r="N217" s="453">
        <f t="shared" si="170"/>
        <v>23800</v>
      </c>
      <c r="O217" s="453">
        <f t="shared" si="170"/>
        <v>0</v>
      </c>
      <c r="P217" s="453">
        <f t="shared" si="170"/>
        <v>0</v>
      </c>
      <c r="Q217" s="453">
        <f t="shared" si="170"/>
        <v>23800</v>
      </c>
      <c r="R217" s="453">
        <f t="shared" si="170"/>
        <v>20113</v>
      </c>
      <c r="S217" s="453">
        <f t="shared" si="170"/>
        <v>0</v>
      </c>
      <c r="T217" s="453">
        <f t="shared" si="170"/>
        <v>0</v>
      </c>
      <c r="U217" s="453">
        <f t="shared" si="170"/>
        <v>20113</v>
      </c>
      <c r="V217" s="453">
        <f t="shared" si="170"/>
        <v>5000</v>
      </c>
      <c r="W217" s="453">
        <f t="shared" si="170"/>
        <v>3500</v>
      </c>
      <c r="X217" s="453">
        <f t="shared" si="170"/>
        <v>0</v>
      </c>
      <c r="Y217" s="453">
        <f t="shared" si="170"/>
        <v>0</v>
      </c>
      <c r="Z217" s="453">
        <f t="shared" si="170"/>
        <v>3500</v>
      </c>
      <c r="AA217" s="453">
        <f t="shared" si="170"/>
        <v>0</v>
      </c>
      <c r="AB217" s="454"/>
      <c r="AC217" s="380">
        <f t="shared" si="168"/>
        <v>0</v>
      </c>
    </row>
    <row r="218" spans="1:36" s="10" customFormat="1" ht="32.25" customHeight="1">
      <c r="A218" s="398" t="s">
        <v>39</v>
      </c>
      <c r="B218" s="326" t="s">
        <v>1254</v>
      </c>
      <c r="C218" s="550" t="s">
        <v>268</v>
      </c>
      <c r="D218" s="328"/>
      <c r="E218" s="448"/>
      <c r="F218" s="328"/>
      <c r="G218" s="448"/>
      <c r="H218" s="328"/>
      <c r="I218" s="328"/>
      <c r="J218" s="508"/>
      <c r="K218" s="508"/>
      <c r="L218" s="508"/>
      <c r="M218" s="508"/>
      <c r="N218" s="508"/>
      <c r="O218" s="508"/>
      <c r="P218" s="508"/>
      <c r="Q218" s="508"/>
      <c r="R218" s="508"/>
      <c r="S218" s="508"/>
      <c r="T218" s="508"/>
      <c r="U218" s="508"/>
      <c r="V218" s="508"/>
      <c r="W218" s="508"/>
      <c r="X218" s="508"/>
      <c r="Y218" s="508"/>
      <c r="Z218" s="508"/>
      <c r="AA218" s="508"/>
      <c r="AB218" s="509"/>
      <c r="AC218" s="380">
        <f t="shared" si="168"/>
        <v>0</v>
      </c>
    </row>
    <row r="219" spans="1:36" s="10" customFormat="1" ht="51.75" customHeight="1">
      <c r="A219" s="397" t="s">
        <v>467</v>
      </c>
      <c r="B219" s="400" t="s">
        <v>183</v>
      </c>
      <c r="C219" s="550" t="s">
        <v>268</v>
      </c>
      <c r="D219" s="435"/>
      <c r="E219" s="400"/>
      <c r="F219" s="424"/>
      <c r="G219" s="424"/>
      <c r="H219" s="425"/>
      <c r="I219" s="328"/>
      <c r="J219" s="436">
        <f t="shared" ref="J219:AA219" si="171">+J220</f>
        <v>28998</v>
      </c>
      <c r="K219" s="436">
        <f t="shared" si="171"/>
        <v>0</v>
      </c>
      <c r="L219" s="436">
        <f t="shared" si="171"/>
        <v>0</v>
      </c>
      <c r="M219" s="436">
        <f t="shared" si="171"/>
        <v>28998</v>
      </c>
      <c r="N219" s="436">
        <f t="shared" si="171"/>
        <v>23800</v>
      </c>
      <c r="O219" s="436">
        <f t="shared" si="171"/>
        <v>0</v>
      </c>
      <c r="P219" s="436">
        <f t="shared" si="171"/>
        <v>0</v>
      </c>
      <c r="Q219" s="436">
        <f t="shared" si="171"/>
        <v>23800</v>
      </c>
      <c r="R219" s="436">
        <f t="shared" si="171"/>
        <v>20113</v>
      </c>
      <c r="S219" s="436">
        <f t="shared" si="171"/>
        <v>0</v>
      </c>
      <c r="T219" s="436">
        <f t="shared" si="171"/>
        <v>0</v>
      </c>
      <c r="U219" s="436">
        <f t="shared" si="171"/>
        <v>20113</v>
      </c>
      <c r="V219" s="436">
        <f t="shared" si="171"/>
        <v>5000</v>
      </c>
      <c r="W219" s="436">
        <f t="shared" si="171"/>
        <v>3500</v>
      </c>
      <c r="X219" s="436">
        <f t="shared" si="171"/>
        <v>0</v>
      </c>
      <c r="Y219" s="436">
        <f t="shared" si="171"/>
        <v>0</v>
      </c>
      <c r="Z219" s="436">
        <f t="shared" si="171"/>
        <v>3500</v>
      </c>
      <c r="AA219" s="436">
        <f t="shared" si="171"/>
        <v>0</v>
      </c>
      <c r="AB219" s="437"/>
      <c r="AC219" s="380">
        <f t="shared" si="168"/>
        <v>0</v>
      </c>
    </row>
    <row r="220" spans="1:36" s="8" customFormat="1" ht="40.5" customHeight="1">
      <c r="A220" s="430" t="s">
        <v>144</v>
      </c>
      <c r="B220" s="455" t="s">
        <v>269</v>
      </c>
      <c r="C220" s="550" t="s">
        <v>268</v>
      </c>
      <c r="D220" s="456">
        <v>8104354</v>
      </c>
      <c r="E220" s="456" t="s">
        <v>270</v>
      </c>
      <c r="F220" s="18" t="s">
        <v>243</v>
      </c>
      <c r="G220" s="11" t="s">
        <v>186</v>
      </c>
      <c r="H220" s="309" t="s">
        <v>271</v>
      </c>
      <c r="I220" s="99" t="s">
        <v>272</v>
      </c>
      <c r="J220" s="457">
        <f>SUM(K220:M220)</f>
        <v>28998</v>
      </c>
      <c r="K220" s="12"/>
      <c r="L220" s="12"/>
      <c r="M220" s="457">
        <v>28998</v>
      </c>
      <c r="N220" s="12">
        <f>SUM(O220:Q220)</f>
        <v>23800</v>
      </c>
      <c r="O220" s="12"/>
      <c r="P220" s="12"/>
      <c r="Q220" s="24">
        <v>23800</v>
      </c>
      <c r="R220" s="24">
        <f>SUM(S220:U220)</f>
        <v>20113</v>
      </c>
      <c r="S220" s="12"/>
      <c r="T220" s="12"/>
      <c r="U220" s="24">
        <v>20113</v>
      </c>
      <c r="V220" s="407">
        <v>5000</v>
      </c>
      <c r="W220" s="12">
        <f>SUM(X220:AA220)</f>
        <v>3500</v>
      </c>
      <c r="X220" s="12"/>
      <c r="Y220" s="12"/>
      <c r="Z220" s="12">
        <v>3500</v>
      </c>
      <c r="AA220" s="12"/>
      <c r="AB220" s="108" t="s">
        <v>1622</v>
      </c>
      <c r="AC220" s="380">
        <f t="shared" si="168"/>
        <v>0</v>
      </c>
      <c r="AJ220" s="8" t="s">
        <v>1821</v>
      </c>
    </row>
    <row r="221" spans="1:36" s="417" customFormat="1" ht="28.5" customHeight="1">
      <c r="A221" s="327" t="s">
        <v>1306</v>
      </c>
      <c r="B221" s="413" t="s">
        <v>1307</v>
      </c>
      <c r="C221" s="550" t="s">
        <v>268</v>
      </c>
      <c r="D221" s="494"/>
      <c r="E221" s="494"/>
      <c r="F221" s="494"/>
      <c r="G221" s="494"/>
      <c r="H221" s="494"/>
      <c r="I221" s="327"/>
      <c r="J221" s="331"/>
      <c r="K221" s="331"/>
      <c r="L221" s="331"/>
      <c r="M221" s="331"/>
      <c r="N221" s="331"/>
      <c r="O221" s="331"/>
      <c r="P221" s="331"/>
      <c r="Q221" s="331"/>
      <c r="R221" s="331"/>
      <c r="S221" s="331"/>
      <c r="T221" s="331"/>
      <c r="U221" s="331"/>
      <c r="V221" s="331"/>
      <c r="W221" s="331"/>
      <c r="X221" s="331"/>
      <c r="Y221" s="331"/>
      <c r="Z221" s="331"/>
      <c r="AA221" s="331"/>
      <c r="AB221" s="332"/>
      <c r="AC221" s="380">
        <f t="shared" si="168"/>
        <v>0</v>
      </c>
    </row>
    <row r="222" spans="1:36" s="231" customFormat="1" ht="57.75" customHeight="1">
      <c r="A222" s="426" t="s">
        <v>1331</v>
      </c>
      <c r="B222" s="461" t="s">
        <v>425</v>
      </c>
      <c r="C222" s="461" t="s">
        <v>425</v>
      </c>
      <c r="D222" s="462"/>
      <c r="E222" s="462"/>
      <c r="F222" s="463"/>
      <c r="G222" s="318"/>
      <c r="H222" s="311"/>
      <c r="I222" s="464"/>
      <c r="J222" s="465">
        <f t="shared" ref="J222:AA222" si="172">+J223</f>
        <v>9152</v>
      </c>
      <c r="K222" s="465">
        <f t="shared" si="172"/>
        <v>0</v>
      </c>
      <c r="L222" s="465">
        <f t="shared" si="172"/>
        <v>0</v>
      </c>
      <c r="M222" s="465">
        <f t="shared" si="172"/>
        <v>9152</v>
      </c>
      <c r="N222" s="465">
        <f t="shared" si="172"/>
        <v>9100</v>
      </c>
      <c r="O222" s="465">
        <f t="shared" si="172"/>
        <v>0</v>
      </c>
      <c r="P222" s="465">
        <f t="shared" si="172"/>
        <v>0</v>
      </c>
      <c r="Q222" s="465">
        <f t="shared" si="172"/>
        <v>9100</v>
      </c>
      <c r="R222" s="465">
        <f t="shared" si="172"/>
        <v>8030</v>
      </c>
      <c r="S222" s="465">
        <f t="shared" si="172"/>
        <v>0</v>
      </c>
      <c r="T222" s="465">
        <f t="shared" si="172"/>
        <v>0</v>
      </c>
      <c r="U222" s="465">
        <f t="shared" si="172"/>
        <v>8030</v>
      </c>
      <c r="V222" s="465">
        <f t="shared" si="172"/>
        <v>1070</v>
      </c>
      <c r="W222" s="465">
        <f t="shared" si="172"/>
        <v>1070</v>
      </c>
      <c r="X222" s="465">
        <f t="shared" si="172"/>
        <v>0</v>
      </c>
      <c r="Y222" s="465">
        <f t="shared" si="172"/>
        <v>0</v>
      </c>
      <c r="Z222" s="465">
        <f t="shared" si="172"/>
        <v>1070</v>
      </c>
      <c r="AA222" s="465">
        <f t="shared" si="172"/>
        <v>0</v>
      </c>
      <c r="AB222" s="466"/>
      <c r="AC222" s="380">
        <f t="shared" si="168"/>
        <v>0</v>
      </c>
    </row>
    <row r="223" spans="1:36" s="10" customFormat="1" ht="56.25" customHeight="1">
      <c r="A223" s="396" t="s">
        <v>1288</v>
      </c>
      <c r="B223" s="467" t="s">
        <v>38</v>
      </c>
      <c r="C223" s="455" t="s">
        <v>425</v>
      </c>
      <c r="D223" s="551"/>
      <c r="E223" s="551"/>
      <c r="F223" s="551"/>
      <c r="G223" s="551"/>
      <c r="H223" s="551"/>
      <c r="I223" s="551"/>
      <c r="J223" s="395">
        <f t="shared" ref="J223:AA223" si="173">+J225+J224+J227</f>
        <v>9152</v>
      </c>
      <c r="K223" s="395">
        <f t="shared" si="173"/>
        <v>0</v>
      </c>
      <c r="L223" s="395">
        <f t="shared" si="173"/>
        <v>0</v>
      </c>
      <c r="M223" s="395">
        <f t="shared" si="173"/>
        <v>9152</v>
      </c>
      <c r="N223" s="395">
        <f t="shared" si="173"/>
        <v>9100</v>
      </c>
      <c r="O223" s="395">
        <f t="shared" si="173"/>
        <v>0</v>
      </c>
      <c r="P223" s="395">
        <f t="shared" si="173"/>
        <v>0</v>
      </c>
      <c r="Q223" s="395">
        <f t="shared" si="173"/>
        <v>9100</v>
      </c>
      <c r="R223" s="395">
        <f t="shared" si="173"/>
        <v>8030</v>
      </c>
      <c r="S223" s="395">
        <f t="shared" si="173"/>
        <v>0</v>
      </c>
      <c r="T223" s="395">
        <f t="shared" si="173"/>
        <v>0</v>
      </c>
      <c r="U223" s="395">
        <f t="shared" si="173"/>
        <v>8030</v>
      </c>
      <c r="V223" s="395">
        <f t="shared" si="173"/>
        <v>1070</v>
      </c>
      <c r="W223" s="395">
        <f t="shared" si="173"/>
        <v>1070</v>
      </c>
      <c r="X223" s="395">
        <f t="shared" si="173"/>
        <v>0</v>
      </c>
      <c r="Y223" s="395">
        <f t="shared" si="173"/>
        <v>0</v>
      </c>
      <c r="Z223" s="395">
        <f t="shared" si="173"/>
        <v>1070</v>
      </c>
      <c r="AA223" s="395">
        <f t="shared" si="173"/>
        <v>0</v>
      </c>
      <c r="AB223" s="396"/>
      <c r="AC223" s="380">
        <f t="shared" si="168"/>
        <v>0</v>
      </c>
    </row>
    <row r="224" spans="1:36" s="10" customFormat="1" ht="45.75" customHeight="1">
      <c r="A224" s="398" t="s">
        <v>39</v>
      </c>
      <c r="B224" s="326" t="s">
        <v>1254</v>
      </c>
      <c r="C224" s="455" t="s">
        <v>425</v>
      </c>
      <c r="D224" s="328"/>
      <c r="E224" s="448"/>
      <c r="F224" s="328"/>
      <c r="G224" s="448"/>
      <c r="H224" s="328"/>
      <c r="I224" s="328"/>
      <c r="J224" s="508"/>
      <c r="K224" s="508"/>
      <c r="L224" s="508"/>
      <c r="M224" s="508"/>
      <c r="N224" s="508"/>
      <c r="O224" s="508"/>
      <c r="P224" s="508"/>
      <c r="Q224" s="508"/>
      <c r="R224" s="508"/>
      <c r="S224" s="508"/>
      <c r="T224" s="508"/>
      <c r="U224" s="508"/>
      <c r="V224" s="508"/>
      <c r="W224" s="508"/>
      <c r="X224" s="508"/>
      <c r="Y224" s="508"/>
      <c r="Z224" s="508"/>
      <c r="AA224" s="508"/>
      <c r="AB224" s="509"/>
      <c r="AC224" s="380">
        <f t="shared" si="168"/>
        <v>0</v>
      </c>
    </row>
    <row r="225" spans="1:36" s="10" customFormat="1" ht="45">
      <c r="A225" s="332" t="s">
        <v>467</v>
      </c>
      <c r="B225" s="470" t="s">
        <v>423</v>
      </c>
      <c r="C225" s="455" t="s">
        <v>425</v>
      </c>
      <c r="D225" s="332"/>
      <c r="E225" s="332"/>
      <c r="F225" s="332"/>
      <c r="G225" s="332"/>
      <c r="H225" s="332"/>
      <c r="I225" s="332"/>
      <c r="J225" s="331">
        <f t="shared" ref="J225:AA225" si="174">J226</f>
        <v>9152</v>
      </c>
      <c r="K225" s="331">
        <f t="shared" si="174"/>
        <v>0</v>
      </c>
      <c r="L225" s="331">
        <f t="shared" si="174"/>
        <v>0</v>
      </c>
      <c r="M225" s="331">
        <f t="shared" si="174"/>
        <v>9152</v>
      </c>
      <c r="N225" s="331">
        <f t="shared" si="174"/>
        <v>9100</v>
      </c>
      <c r="O225" s="331">
        <f t="shared" si="174"/>
        <v>0</v>
      </c>
      <c r="P225" s="331">
        <f t="shared" si="174"/>
        <v>0</v>
      </c>
      <c r="Q225" s="331">
        <f t="shared" si="174"/>
        <v>9100</v>
      </c>
      <c r="R225" s="331">
        <f t="shared" si="174"/>
        <v>8030</v>
      </c>
      <c r="S225" s="331">
        <f t="shared" si="174"/>
        <v>0</v>
      </c>
      <c r="T225" s="331">
        <f t="shared" si="174"/>
        <v>0</v>
      </c>
      <c r="U225" s="331">
        <f t="shared" si="174"/>
        <v>8030</v>
      </c>
      <c r="V225" s="331">
        <f t="shared" si="174"/>
        <v>1070</v>
      </c>
      <c r="W225" s="331">
        <f t="shared" si="174"/>
        <v>1070</v>
      </c>
      <c r="X225" s="331">
        <f t="shared" si="174"/>
        <v>0</v>
      </c>
      <c r="Y225" s="331">
        <f t="shared" si="174"/>
        <v>0</v>
      </c>
      <c r="Z225" s="331">
        <f t="shared" si="174"/>
        <v>1070</v>
      </c>
      <c r="AA225" s="331">
        <f t="shared" si="174"/>
        <v>0</v>
      </c>
      <c r="AB225" s="332"/>
      <c r="AC225" s="380">
        <f t="shared" si="168"/>
        <v>0</v>
      </c>
    </row>
    <row r="226" spans="1:36" s="8" customFormat="1" ht="45">
      <c r="A226" s="100" t="s">
        <v>144</v>
      </c>
      <c r="B226" s="101" t="s">
        <v>430</v>
      </c>
      <c r="C226" s="455" t="s">
        <v>425</v>
      </c>
      <c r="D226" s="535">
        <v>8109080</v>
      </c>
      <c r="E226" s="94">
        <v>161</v>
      </c>
      <c r="F226" s="21" t="s">
        <v>501</v>
      </c>
      <c r="G226" s="21" t="s">
        <v>431</v>
      </c>
      <c r="H226" s="94" t="s">
        <v>429</v>
      </c>
      <c r="I226" s="21" t="s">
        <v>432</v>
      </c>
      <c r="J226" s="399">
        <v>9152</v>
      </c>
      <c r="K226" s="399"/>
      <c r="L226" s="399"/>
      <c r="M226" s="399">
        <v>9152</v>
      </c>
      <c r="N226" s="399">
        <v>9100</v>
      </c>
      <c r="O226" s="399"/>
      <c r="P226" s="399"/>
      <c r="Q226" s="399">
        <v>9100</v>
      </c>
      <c r="R226" s="399">
        <v>8030</v>
      </c>
      <c r="S226" s="399"/>
      <c r="T226" s="399"/>
      <c r="U226" s="399">
        <v>8030</v>
      </c>
      <c r="V226" s="399">
        <v>1070</v>
      </c>
      <c r="W226" s="399">
        <f>SUM(X226:AA226)</f>
        <v>1070</v>
      </c>
      <c r="X226" s="399"/>
      <c r="Y226" s="399"/>
      <c r="Z226" s="399">
        <v>1070</v>
      </c>
      <c r="AA226" s="399"/>
      <c r="AB226" s="108" t="s">
        <v>1622</v>
      </c>
      <c r="AC226" s="380">
        <f t="shared" si="168"/>
        <v>0</v>
      </c>
      <c r="AJ226" s="8" t="s">
        <v>685</v>
      </c>
    </row>
    <row r="227" spans="1:36" s="417" customFormat="1" ht="28.5" customHeight="1">
      <c r="A227" s="327" t="s">
        <v>1306</v>
      </c>
      <c r="B227" s="413" t="s">
        <v>1307</v>
      </c>
      <c r="C227" s="455" t="s">
        <v>425</v>
      </c>
      <c r="D227" s="494"/>
      <c r="E227" s="494"/>
      <c r="F227" s="494"/>
      <c r="G227" s="494"/>
      <c r="H227" s="494"/>
      <c r="I227" s="327"/>
      <c r="J227" s="331"/>
      <c r="K227" s="331"/>
      <c r="L227" s="331"/>
      <c r="M227" s="331"/>
      <c r="N227" s="331"/>
      <c r="O227" s="331"/>
      <c r="P227" s="331"/>
      <c r="Q227" s="331"/>
      <c r="R227" s="331"/>
      <c r="S227" s="331"/>
      <c r="T227" s="331"/>
      <c r="U227" s="331"/>
      <c r="V227" s="331"/>
      <c r="W227" s="331"/>
      <c r="X227" s="331"/>
      <c r="Y227" s="331"/>
      <c r="Z227" s="331"/>
      <c r="AA227" s="331"/>
      <c r="AB227" s="332"/>
      <c r="AC227" s="380">
        <f t="shared" si="168"/>
        <v>0</v>
      </c>
    </row>
    <row r="228" spans="1:36" s="231" customFormat="1" ht="31.5" customHeight="1">
      <c r="A228" s="392">
        <v>4</v>
      </c>
      <c r="B228" s="305" t="s">
        <v>623</v>
      </c>
      <c r="C228" s="305" t="s">
        <v>623</v>
      </c>
      <c r="D228" s="552"/>
      <c r="E228" s="392"/>
      <c r="F228" s="304"/>
      <c r="G228" s="304"/>
      <c r="H228" s="392"/>
      <c r="I228" s="304"/>
      <c r="J228" s="391">
        <f t="shared" ref="J228:AA228" si="175">+J229</f>
        <v>224117</v>
      </c>
      <c r="K228" s="391">
        <f t="shared" si="175"/>
        <v>0</v>
      </c>
      <c r="L228" s="391">
        <f t="shared" si="175"/>
        <v>0</v>
      </c>
      <c r="M228" s="391">
        <f t="shared" si="175"/>
        <v>224117</v>
      </c>
      <c r="N228" s="391">
        <f t="shared" si="175"/>
        <v>166209.70000000001</v>
      </c>
      <c r="O228" s="391">
        <f t="shared" si="175"/>
        <v>0</v>
      </c>
      <c r="P228" s="391">
        <f t="shared" si="175"/>
        <v>0</v>
      </c>
      <c r="Q228" s="391">
        <f t="shared" si="175"/>
        <v>166209.70000000001</v>
      </c>
      <c r="R228" s="391">
        <f t="shared" si="175"/>
        <v>173346.7</v>
      </c>
      <c r="S228" s="391">
        <f t="shared" si="175"/>
        <v>0</v>
      </c>
      <c r="T228" s="391">
        <f t="shared" si="175"/>
        <v>0</v>
      </c>
      <c r="U228" s="391">
        <f t="shared" si="175"/>
        <v>173346.7</v>
      </c>
      <c r="V228" s="391">
        <f t="shared" si="175"/>
        <v>44660</v>
      </c>
      <c r="W228" s="391">
        <f t="shared" si="175"/>
        <v>44660</v>
      </c>
      <c r="X228" s="391">
        <f t="shared" si="175"/>
        <v>3395</v>
      </c>
      <c r="Y228" s="391">
        <f t="shared" si="175"/>
        <v>0</v>
      </c>
      <c r="Z228" s="391">
        <f t="shared" si="175"/>
        <v>41265</v>
      </c>
      <c r="AA228" s="391">
        <f t="shared" si="175"/>
        <v>0</v>
      </c>
      <c r="AB228" s="392"/>
      <c r="AC228" s="380">
        <f t="shared" si="168"/>
        <v>0</v>
      </c>
    </row>
    <row r="229" spans="1:36" s="422" customFormat="1" ht="31.5" customHeight="1">
      <c r="A229" s="396" t="s">
        <v>1290</v>
      </c>
      <c r="B229" s="467" t="s">
        <v>38</v>
      </c>
      <c r="C229" s="101" t="s">
        <v>623</v>
      </c>
      <c r="D229" s="553"/>
      <c r="E229" s="396"/>
      <c r="F229" s="469"/>
      <c r="G229" s="469"/>
      <c r="H229" s="396"/>
      <c r="I229" s="469"/>
      <c r="J229" s="395">
        <f t="shared" ref="J229:AA229" si="176">+J230+J240+J243</f>
        <v>224117</v>
      </c>
      <c r="K229" s="395">
        <f t="shared" si="176"/>
        <v>0</v>
      </c>
      <c r="L229" s="395">
        <f t="shared" si="176"/>
        <v>0</v>
      </c>
      <c r="M229" s="395">
        <f t="shared" si="176"/>
        <v>224117</v>
      </c>
      <c r="N229" s="395">
        <f t="shared" si="176"/>
        <v>166209.70000000001</v>
      </c>
      <c r="O229" s="395">
        <f t="shared" si="176"/>
        <v>0</v>
      </c>
      <c r="P229" s="395">
        <f t="shared" si="176"/>
        <v>0</v>
      </c>
      <c r="Q229" s="395">
        <f t="shared" si="176"/>
        <v>166209.70000000001</v>
      </c>
      <c r="R229" s="395">
        <f t="shared" si="176"/>
        <v>173346.7</v>
      </c>
      <c r="S229" s="395">
        <f t="shared" si="176"/>
        <v>0</v>
      </c>
      <c r="T229" s="395">
        <f t="shared" si="176"/>
        <v>0</v>
      </c>
      <c r="U229" s="395">
        <f t="shared" si="176"/>
        <v>173346.7</v>
      </c>
      <c r="V229" s="395">
        <f t="shared" si="176"/>
        <v>44660</v>
      </c>
      <c r="W229" s="395">
        <f t="shared" si="176"/>
        <v>44660</v>
      </c>
      <c r="X229" s="395">
        <f t="shared" si="176"/>
        <v>3395</v>
      </c>
      <c r="Y229" s="395">
        <f t="shared" si="176"/>
        <v>0</v>
      </c>
      <c r="Z229" s="395">
        <f t="shared" si="176"/>
        <v>41265</v>
      </c>
      <c r="AA229" s="395">
        <f t="shared" si="176"/>
        <v>0</v>
      </c>
      <c r="AB229" s="396"/>
      <c r="AC229" s="380">
        <f t="shared" si="168"/>
        <v>0</v>
      </c>
    </row>
    <row r="230" spans="1:36" s="10" customFormat="1" ht="39.75" customHeight="1">
      <c r="A230" s="332" t="s">
        <v>39</v>
      </c>
      <c r="B230" s="326" t="s">
        <v>1254</v>
      </c>
      <c r="C230" s="101" t="s">
        <v>623</v>
      </c>
      <c r="D230" s="554"/>
      <c r="E230" s="332"/>
      <c r="F230" s="471"/>
      <c r="G230" s="471"/>
      <c r="H230" s="332"/>
      <c r="I230" s="471"/>
      <c r="J230" s="331">
        <f t="shared" ref="J230:AA230" si="177">+SUM(J231:J239)</f>
        <v>80040</v>
      </c>
      <c r="K230" s="331">
        <f t="shared" si="177"/>
        <v>0</v>
      </c>
      <c r="L230" s="331">
        <f t="shared" si="177"/>
        <v>0</v>
      </c>
      <c r="M230" s="331">
        <f t="shared" si="177"/>
        <v>80040</v>
      </c>
      <c r="N230" s="331">
        <f t="shared" si="177"/>
        <v>75383</v>
      </c>
      <c r="O230" s="331">
        <f t="shared" si="177"/>
        <v>0</v>
      </c>
      <c r="P230" s="331">
        <f t="shared" si="177"/>
        <v>0</v>
      </c>
      <c r="Q230" s="331">
        <f t="shared" si="177"/>
        <v>75383</v>
      </c>
      <c r="R230" s="331">
        <f t="shared" si="177"/>
        <v>75383</v>
      </c>
      <c r="S230" s="331">
        <f t="shared" si="177"/>
        <v>0</v>
      </c>
      <c r="T230" s="331">
        <f t="shared" si="177"/>
        <v>0</v>
      </c>
      <c r="U230" s="331">
        <f t="shared" si="177"/>
        <v>75383</v>
      </c>
      <c r="V230" s="331">
        <f t="shared" si="177"/>
        <v>922</v>
      </c>
      <c r="W230" s="331">
        <f>+SUM(W231:W239)</f>
        <v>922</v>
      </c>
      <c r="X230" s="331">
        <f t="shared" si="177"/>
        <v>0</v>
      </c>
      <c r="Y230" s="331">
        <f t="shared" si="177"/>
        <v>0</v>
      </c>
      <c r="Z230" s="331">
        <f t="shared" si="177"/>
        <v>922</v>
      </c>
      <c r="AA230" s="331">
        <f t="shared" si="177"/>
        <v>0</v>
      </c>
      <c r="AB230" s="332"/>
      <c r="AC230" s="380">
        <f t="shared" si="168"/>
        <v>0</v>
      </c>
    </row>
    <row r="231" spans="1:36" s="8" customFormat="1" ht="48.75" customHeight="1">
      <c r="A231" s="430" t="s">
        <v>144</v>
      </c>
      <c r="B231" s="544" t="s">
        <v>624</v>
      </c>
      <c r="C231" s="101" t="s">
        <v>623</v>
      </c>
      <c r="D231" s="13">
        <v>7277221</v>
      </c>
      <c r="E231" s="455"/>
      <c r="F231" s="349" t="s">
        <v>265</v>
      </c>
      <c r="G231" s="11"/>
      <c r="H231" s="433" t="s">
        <v>625</v>
      </c>
      <c r="I231" s="349" t="s">
        <v>626</v>
      </c>
      <c r="J231" s="457">
        <f t="shared" ref="J231:J239" si="178">K231+L231+M231</f>
        <v>9602</v>
      </c>
      <c r="K231" s="12"/>
      <c r="L231" s="12"/>
      <c r="M231" s="407">
        <v>9602</v>
      </c>
      <c r="N231" s="12">
        <f t="shared" ref="N231:N239" si="179">O231+P231+Q231</f>
        <v>8229</v>
      </c>
      <c r="O231" s="12"/>
      <c r="P231" s="12"/>
      <c r="Q231" s="407">
        <v>8229</v>
      </c>
      <c r="R231" s="24">
        <f t="shared" ref="R231:R239" si="180">S231+T231+U231</f>
        <v>8229</v>
      </c>
      <c r="S231" s="12"/>
      <c r="T231" s="12"/>
      <c r="U231" s="407">
        <v>8229</v>
      </c>
      <c r="V231" s="12">
        <v>104</v>
      </c>
      <c r="W231" s="407">
        <f>SUM(X231:AA231)</f>
        <v>104</v>
      </c>
      <c r="X231" s="407"/>
      <c r="Y231" s="407"/>
      <c r="Z231" s="407">
        <v>104</v>
      </c>
      <c r="AA231" s="407"/>
      <c r="AB231" s="555" t="s">
        <v>1308</v>
      </c>
      <c r="AC231" s="380">
        <f t="shared" si="168"/>
        <v>0</v>
      </c>
      <c r="AJ231" s="555" t="s">
        <v>1308</v>
      </c>
    </row>
    <row r="232" spans="1:36" s="8" customFormat="1" ht="48.75" customHeight="1">
      <c r="A232" s="430" t="s">
        <v>144</v>
      </c>
      <c r="B232" s="544" t="s">
        <v>627</v>
      </c>
      <c r="C232" s="101" t="s">
        <v>623</v>
      </c>
      <c r="D232" s="13">
        <v>7274019</v>
      </c>
      <c r="E232" s="455"/>
      <c r="F232" s="349" t="s">
        <v>628</v>
      </c>
      <c r="G232" s="11"/>
      <c r="H232" s="433" t="s">
        <v>629</v>
      </c>
      <c r="I232" s="349" t="s">
        <v>630</v>
      </c>
      <c r="J232" s="457">
        <f t="shared" si="178"/>
        <v>4214</v>
      </c>
      <c r="K232" s="12"/>
      <c r="L232" s="12"/>
      <c r="M232" s="407">
        <v>4214</v>
      </c>
      <c r="N232" s="12">
        <f t="shared" si="179"/>
        <v>4078</v>
      </c>
      <c r="O232" s="12"/>
      <c r="P232" s="12"/>
      <c r="Q232" s="407">
        <v>4078</v>
      </c>
      <c r="R232" s="24">
        <f t="shared" si="180"/>
        <v>4078</v>
      </c>
      <c r="S232" s="12"/>
      <c r="T232" s="12"/>
      <c r="U232" s="407">
        <v>4078</v>
      </c>
      <c r="V232" s="12">
        <v>60</v>
      </c>
      <c r="W232" s="407">
        <f t="shared" ref="W232:W239" si="181">SUM(X232:AA232)</f>
        <v>60</v>
      </c>
      <c r="X232" s="407"/>
      <c r="Y232" s="407"/>
      <c r="Z232" s="407">
        <v>60</v>
      </c>
      <c r="AA232" s="407"/>
      <c r="AB232" s="555" t="s">
        <v>1308</v>
      </c>
      <c r="AC232" s="380">
        <f t="shared" si="168"/>
        <v>0</v>
      </c>
      <c r="AJ232" s="555" t="s">
        <v>1308</v>
      </c>
    </row>
    <row r="233" spans="1:36" s="8" customFormat="1" ht="48.75" customHeight="1">
      <c r="A233" s="430" t="s">
        <v>144</v>
      </c>
      <c r="B233" s="544" t="s">
        <v>631</v>
      </c>
      <c r="C233" s="101" t="s">
        <v>623</v>
      </c>
      <c r="D233" s="13">
        <v>7274023</v>
      </c>
      <c r="E233" s="455"/>
      <c r="F233" s="349" t="s">
        <v>632</v>
      </c>
      <c r="G233" s="11"/>
      <c r="H233" s="433" t="s">
        <v>629</v>
      </c>
      <c r="I233" s="349" t="s">
        <v>633</v>
      </c>
      <c r="J233" s="457">
        <f t="shared" si="178"/>
        <v>3368</v>
      </c>
      <c r="K233" s="12"/>
      <c r="L233" s="12"/>
      <c r="M233" s="407">
        <v>3368</v>
      </c>
      <c r="N233" s="12">
        <f t="shared" si="179"/>
        <v>3237</v>
      </c>
      <c r="O233" s="12"/>
      <c r="P233" s="12"/>
      <c r="Q233" s="407">
        <v>3237</v>
      </c>
      <c r="R233" s="24">
        <f t="shared" si="180"/>
        <v>3237</v>
      </c>
      <c r="S233" s="12"/>
      <c r="T233" s="12"/>
      <c r="U233" s="407">
        <v>3237</v>
      </c>
      <c r="V233" s="12">
        <v>67</v>
      </c>
      <c r="W233" s="407">
        <f t="shared" si="181"/>
        <v>67</v>
      </c>
      <c r="X233" s="407"/>
      <c r="Y233" s="407"/>
      <c r="Z233" s="407">
        <v>67</v>
      </c>
      <c r="AA233" s="407"/>
      <c r="AB233" s="555" t="s">
        <v>1308</v>
      </c>
      <c r="AC233" s="380">
        <f t="shared" si="168"/>
        <v>0</v>
      </c>
      <c r="AJ233" s="555" t="s">
        <v>1308</v>
      </c>
    </row>
    <row r="234" spans="1:36" s="8" customFormat="1" ht="48.75" customHeight="1">
      <c r="A234" s="430" t="s">
        <v>144</v>
      </c>
      <c r="B234" s="25" t="s">
        <v>634</v>
      </c>
      <c r="C234" s="101" t="s">
        <v>623</v>
      </c>
      <c r="D234" s="13">
        <v>7274025</v>
      </c>
      <c r="E234" s="455"/>
      <c r="F234" s="349" t="s">
        <v>265</v>
      </c>
      <c r="G234" s="11"/>
      <c r="H234" s="433" t="s">
        <v>635</v>
      </c>
      <c r="I234" s="349" t="s">
        <v>636</v>
      </c>
      <c r="J234" s="457">
        <f t="shared" si="178"/>
        <v>4789</v>
      </c>
      <c r="K234" s="12"/>
      <c r="L234" s="12"/>
      <c r="M234" s="407">
        <v>4789</v>
      </c>
      <c r="N234" s="12">
        <f t="shared" si="179"/>
        <v>4566</v>
      </c>
      <c r="O234" s="12"/>
      <c r="P234" s="12"/>
      <c r="Q234" s="407">
        <v>4566</v>
      </c>
      <c r="R234" s="24">
        <f t="shared" si="180"/>
        <v>4566</v>
      </c>
      <c r="S234" s="12"/>
      <c r="T234" s="12"/>
      <c r="U234" s="407">
        <v>4566</v>
      </c>
      <c r="V234" s="12">
        <v>78</v>
      </c>
      <c r="W234" s="407">
        <f t="shared" si="181"/>
        <v>78</v>
      </c>
      <c r="X234" s="407"/>
      <c r="Y234" s="407"/>
      <c r="Z234" s="407">
        <v>78</v>
      </c>
      <c r="AA234" s="407"/>
      <c r="AB234" s="555" t="s">
        <v>1308</v>
      </c>
      <c r="AC234" s="380">
        <f t="shared" si="168"/>
        <v>0</v>
      </c>
      <c r="AJ234" s="555" t="s">
        <v>1308</v>
      </c>
    </row>
    <row r="235" spans="1:36" s="8" customFormat="1" ht="48.75" customHeight="1">
      <c r="A235" s="430" t="s">
        <v>144</v>
      </c>
      <c r="B235" s="25" t="s">
        <v>637</v>
      </c>
      <c r="C235" s="101" t="s">
        <v>623</v>
      </c>
      <c r="D235" s="13">
        <v>7274013</v>
      </c>
      <c r="E235" s="455"/>
      <c r="F235" s="349" t="s">
        <v>366</v>
      </c>
      <c r="G235" s="11"/>
      <c r="H235" s="433" t="s">
        <v>635</v>
      </c>
      <c r="I235" s="349" t="s">
        <v>638</v>
      </c>
      <c r="J235" s="457">
        <f t="shared" si="178"/>
        <v>2471</v>
      </c>
      <c r="K235" s="12"/>
      <c r="L235" s="12"/>
      <c r="M235" s="407">
        <v>2471</v>
      </c>
      <c r="N235" s="12">
        <f t="shared" si="179"/>
        <v>2356</v>
      </c>
      <c r="O235" s="12"/>
      <c r="P235" s="12"/>
      <c r="Q235" s="407">
        <v>2356</v>
      </c>
      <c r="R235" s="24">
        <f t="shared" si="180"/>
        <v>2356</v>
      </c>
      <c r="S235" s="12"/>
      <c r="T235" s="12"/>
      <c r="U235" s="407">
        <v>2356</v>
      </c>
      <c r="V235" s="12">
        <v>48</v>
      </c>
      <c r="W235" s="407">
        <f t="shared" si="181"/>
        <v>48</v>
      </c>
      <c r="X235" s="407"/>
      <c r="Y235" s="407"/>
      <c r="Z235" s="407">
        <v>48</v>
      </c>
      <c r="AA235" s="407"/>
      <c r="AB235" s="555" t="s">
        <v>1308</v>
      </c>
      <c r="AC235" s="380">
        <f t="shared" si="168"/>
        <v>0</v>
      </c>
      <c r="AJ235" s="555" t="s">
        <v>1308</v>
      </c>
    </row>
    <row r="236" spans="1:36" s="8" customFormat="1" ht="48.75" customHeight="1">
      <c r="A236" s="430" t="s">
        <v>144</v>
      </c>
      <c r="B236" s="25" t="s">
        <v>639</v>
      </c>
      <c r="C236" s="101" t="s">
        <v>623</v>
      </c>
      <c r="D236" s="13">
        <v>7752350</v>
      </c>
      <c r="E236" s="455"/>
      <c r="F236" s="349" t="s">
        <v>395</v>
      </c>
      <c r="G236" s="11"/>
      <c r="H236" s="433" t="s">
        <v>640</v>
      </c>
      <c r="I236" s="349" t="s">
        <v>641</v>
      </c>
      <c r="J236" s="457">
        <f t="shared" si="178"/>
        <v>29480</v>
      </c>
      <c r="K236" s="12"/>
      <c r="L236" s="12"/>
      <c r="M236" s="407">
        <v>29480</v>
      </c>
      <c r="N236" s="12">
        <f t="shared" si="179"/>
        <v>27752</v>
      </c>
      <c r="O236" s="12"/>
      <c r="P236" s="12"/>
      <c r="Q236" s="24">
        <v>27752</v>
      </c>
      <c r="R236" s="24">
        <f t="shared" si="180"/>
        <v>27752</v>
      </c>
      <c r="S236" s="12"/>
      <c r="T236" s="12"/>
      <c r="U236" s="24">
        <v>27752</v>
      </c>
      <c r="V236" s="12">
        <v>221</v>
      </c>
      <c r="W236" s="407">
        <f t="shared" si="181"/>
        <v>221</v>
      </c>
      <c r="X236" s="407"/>
      <c r="Y236" s="407"/>
      <c r="Z236" s="407">
        <v>221</v>
      </c>
      <c r="AA236" s="407"/>
      <c r="AB236" s="555" t="s">
        <v>1308</v>
      </c>
      <c r="AC236" s="380">
        <f t="shared" si="168"/>
        <v>0</v>
      </c>
      <c r="AJ236" s="555" t="s">
        <v>1308</v>
      </c>
    </row>
    <row r="237" spans="1:36" s="8" customFormat="1" ht="48.75" customHeight="1">
      <c r="A237" s="430" t="s">
        <v>144</v>
      </c>
      <c r="B237" s="25" t="s">
        <v>642</v>
      </c>
      <c r="C237" s="101" t="s">
        <v>623</v>
      </c>
      <c r="D237" s="13">
        <v>7752349</v>
      </c>
      <c r="E237" s="455"/>
      <c r="F237" s="349" t="s">
        <v>217</v>
      </c>
      <c r="G237" s="11"/>
      <c r="H237" s="433" t="s">
        <v>640</v>
      </c>
      <c r="I237" s="349" t="s">
        <v>643</v>
      </c>
      <c r="J237" s="457">
        <f t="shared" si="178"/>
        <v>10025</v>
      </c>
      <c r="K237" s="12"/>
      <c r="L237" s="12"/>
      <c r="M237" s="407">
        <v>10025</v>
      </c>
      <c r="N237" s="12">
        <f t="shared" si="179"/>
        <v>9553</v>
      </c>
      <c r="O237" s="12"/>
      <c r="P237" s="12"/>
      <c r="Q237" s="24">
        <v>9553</v>
      </c>
      <c r="R237" s="24">
        <f t="shared" si="180"/>
        <v>9553</v>
      </c>
      <c r="S237" s="12"/>
      <c r="T237" s="12"/>
      <c r="U237" s="24">
        <v>9553</v>
      </c>
      <c r="V237" s="12">
        <v>153</v>
      </c>
      <c r="W237" s="407">
        <f t="shared" si="181"/>
        <v>153</v>
      </c>
      <c r="X237" s="407"/>
      <c r="Y237" s="407"/>
      <c r="Z237" s="407">
        <v>153</v>
      </c>
      <c r="AA237" s="407"/>
      <c r="AB237" s="555" t="s">
        <v>1308</v>
      </c>
      <c r="AC237" s="380">
        <f t="shared" si="168"/>
        <v>0</v>
      </c>
      <c r="AJ237" s="555" t="s">
        <v>1308</v>
      </c>
    </row>
    <row r="238" spans="1:36" s="8" customFormat="1" ht="48.75" customHeight="1">
      <c r="A238" s="430" t="s">
        <v>144</v>
      </c>
      <c r="B238" s="25" t="s">
        <v>644</v>
      </c>
      <c r="C238" s="101" t="s">
        <v>623</v>
      </c>
      <c r="D238" s="13">
        <v>7908924</v>
      </c>
      <c r="E238" s="455"/>
      <c r="F238" s="349" t="s">
        <v>296</v>
      </c>
      <c r="G238" s="11"/>
      <c r="H238" s="433" t="s">
        <v>645</v>
      </c>
      <c r="I238" s="349" t="s">
        <v>646</v>
      </c>
      <c r="J238" s="457">
        <f t="shared" si="178"/>
        <v>4670</v>
      </c>
      <c r="K238" s="12"/>
      <c r="L238" s="12"/>
      <c r="M238" s="407">
        <v>4670</v>
      </c>
      <c r="N238" s="12">
        <f t="shared" si="179"/>
        <v>4552</v>
      </c>
      <c r="O238" s="12"/>
      <c r="P238" s="12"/>
      <c r="Q238" s="24">
        <v>4552</v>
      </c>
      <c r="R238" s="24">
        <f t="shared" si="180"/>
        <v>4552</v>
      </c>
      <c r="S238" s="12"/>
      <c r="T238" s="12"/>
      <c r="U238" s="24">
        <v>4552</v>
      </c>
      <c r="V238" s="12">
        <v>53</v>
      </c>
      <c r="W238" s="407">
        <f t="shared" si="181"/>
        <v>53</v>
      </c>
      <c r="X238" s="407"/>
      <c r="Y238" s="407"/>
      <c r="Z238" s="407">
        <v>53</v>
      </c>
      <c r="AA238" s="407"/>
      <c r="AB238" s="555" t="s">
        <v>1308</v>
      </c>
      <c r="AC238" s="380">
        <f t="shared" si="168"/>
        <v>0</v>
      </c>
      <c r="AJ238" s="555" t="s">
        <v>1308</v>
      </c>
    </row>
    <row r="239" spans="1:36" s="8" customFormat="1" ht="48.75" customHeight="1">
      <c r="A239" s="430" t="s">
        <v>144</v>
      </c>
      <c r="B239" s="25" t="s">
        <v>647</v>
      </c>
      <c r="C239" s="101" t="s">
        <v>623</v>
      </c>
      <c r="D239" s="13">
        <v>7892713</v>
      </c>
      <c r="E239" s="455"/>
      <c r="F239" s="349" t="s">
        <v>395</v>
      </c>
      <c r="G239" s="11"/>
      <c r="H239" s="433" t="s">
        <v>73</v>
      </c>
      <c r="I239" s="349" t="s">
        <v>648</v>
      </c>
      <c r="J239" s="457">
        <f t="shared" si="178"/>
        <v>11421</v>
      </c>
      <c r="K239" s="12"/>
      <c r="L239" s="12"/>
      <c r="M239" s="407">
        <v>11421</v>
      </c>
      <c r="N239" s="12">
        <f t="shared" si="179"/>
        <v>11060</v>
      </c>
      <c r="O239" s="12"/>
      <c r="P239" s="12"/>
      <c r="Q239" s="24">
        <v>11060</v>
      </c>
      <c r="R239" s="24">
        <f t="shared" si="180"/>
        <v>11060</v>
      </c>
      <c r="S239" s="12"/>
      <c r="T239" s="12"/>
      <c r="U239" s="24">
        <v>11060</v>
      </c>
      <c r="V239" s="407">
        <v>138</v>
      </c>
      <c r="W239" s="407">
        <f t="shared" si="181"/>
        <v>138</v>
      </c>
      <c r="X239" s="407"/>
      <c r="Y239" s="407"/>
      <c r="Z239" s="407">
        <v>138</v>
      </c>
      <c r="AA239" s="407"/>
      <c r="AB239" s="555" t="s">
        <v>1308</v>
      </c>
      <c r="AC239" s="380">
        <f t="shared" si="168"/>
        <v>0</v>
      </c>
      <c r="AJ239" s="555" t="s">
        <v>1308</v>
      </c>
    </row>
    <row r="240" spans="1:36" s="10" customFormat="1" ht="43.5" customHeight="1">
      <c r="A240" s="332" t="s">
        <v>467</v>
      </c>
      <c r="B240" s="470" t="s">
        <v>423</v>
      </c>
      <c r="C240" s="101" t="s">
        <v>623</v>
      </c>
      <c r="D240" s="332"/>
      <c r="E240" s="332"/>
      <c r="F240" s="332"/>
      <c r="G240" s="332"/>
      <c r="H240" s="332"/>
      <c r="I240" s="332"/>
      <c r="J240" s="331">
        <f>+J241+J242</f>
        <v>144077</v>
      </c>
      <c r="K240" s="331">
        <f t="shared" ref="K240:AA240" si="182">+K241+K242</f>
        <v>0</v>
      </c>
      <c r="L240" s="331">
        <f t="shared" si="182"/>
        <v>0</v>
      </c>
      <c r="M240" s="331">
        <f t="shared" si="182"/>
        <v>144077</v>
      </c>
      <c r="N240" s="331">
        <f t="shared" si="182"/>
        <v>90826.7</v>
      </c>
      <c r="O240" s="331">
        <f t="shared" si="182"/>
        <v>0</v>
      </c>
      <c r="P240" s="331">
        <f t="shared" si="182"/>
        <v>0</v>
      </c>
      <c r="Q240" s="331">
        <f t="shared" si="182"/>
        <v>90826.7</v>
      </c>
      <c r="R240" s="331">
        <f t="shared" si="182"/>
        <v>97963.7</v>
      </c>
      <c r="S240" s="331">
        <f t="shared" si="182"/>
        <v>0</v>
      </c>
      <c r="T240" s="331">
        <f t="shared" si="182"/>
        <v>0</v>
      </c>
      <c r="U240" s="331">
        <f t="shared" si="182"/>
        <v>97963.7</v>
      </c>
      <c r="V240" s="331">
        <f t="shared" si="182"/>
        <v>43738</v>
      </c>
      <c r="W240" s="331">
        <f>+W241+W242</f>
        <v>43738</v>
      </c>
      <c r="X240" s="331">
        <f t="shared" si="182"/>
        <v>3395</v>
      </c>
      <c r="Y240" s="331">
        <f t="shared" si="182"/>
        <v>0</v>
      </c>
      <c r="Z240" s="331">
        <f t="shared" si="182"/>
        <v>40343</v>
      </c>
      <c r="AA240" s="331">
        <f t="shared" si="182"/>
        <v>0</v>
      </c>
      <c r="AB240" s="332"/>
      <c r="AC240" s="380">
        <f t="shared" si="168"/>
        <v>0</v>
      </c>
    </row>
    <row r="241" spans="1:36" s="8" customFormat="1" ht="71.25" customHeight="1">
      <c r="A241" s="430" t="s">
        <v>144</v>
      </c>
      <c r="B241" s="25" t="s">
        <v>649</v>
      </c>
      <c r="C241" s="101" t="s">
        <v>623</v>
      </c>
      <c r="D241" s="26" t="s">
        <v>650</v>
      </c>
      <c r="E241" s="455"/>
      <c r="F241" s="349" t="s">
        <v>651</v>
      </c>
      <c r="G241" s="11"/>
      <c r="H241" s="433" t="s">
        <v>127</v>
      </c>
      <c r="I241" s="349" t="s">
        <v>652</v>
      </c>
      <c r="J241" s="457">
        <f>K241+L241+M241</f>
        <v>138220</v>
      </c>
      <c r="K241" s="12"/>
      <c r="L241" s="12"/>
      <c r="M241" s="407">
        <v>138220</v>
      </c>
      <c r="N241" s="12">
        <f>O241+P241+Q241</f>
        <v>90740</v>
      </c>
      <c r="O241" s="12"/>
      <c r="P241" s="12"/>
      <c r="Q241" s="24">
        <v>90740</v>
      </c>
      <c r="R241" s="24">
        <f>S241+T241+U241</f>
        <v>97877</v>
      </c>
      <c r="S241" s="12"/>
      <c r="T241" s="12"/>
      <c r="U241" s="24">
        <v>97877</v>
      </c>
      <c r="V241" s="407">
        <f>13822+26521</f>
        <v>40343</v>
      </c>
      <c r="W241" s="407">
        <f>SUM(X241:AA241)</f>
        <v>40343</v>
      </c>
      <c r="X241" s="407"/>
      <c r="Y241" s="407"/>
      <c r="Z241" s="407">
        <v>40343</v>
      </c>
      <c r="AA241" s="407"/>
      <c r="AB241" s="349" t="s">
        <v>1622</v>
      </c>
      <c r="AC241" s="380">
        <f t="shared" si="168"/>
        <v>0</v>
      </c>
      <c r="AJ241" s="8" t="s">
        <v>685</v>
      </c>
    </row>
    <row r="242" spans="1:36" s="8" customFormat="1" ht="71.25" customHeight="1">
      <c r="A242" s="430" t="s">
        <v>144</v>
      </c>
      <c r="B242" s="25" t="s">
        <v>653</v>
      </c>
      <c r="C242" s="101" t="s">
        <v>623</v>
      </c>
      <c r="D242" s="26"/>
      <c r="E242" s="455"/>
      <c r="F242" s="349" t="s">
        <v>654</v>
      </c>
      <c r="G242" s="11"/>
      <c r="H242" s="433" t="s">
        <v>207</v>
      </c>
      <c r="I242" s="349" t="s">
        <v>655</v>
      </c>
      <c r="J242" s="457">
        <f>K242+L242+M242</f>
        <v>5857</v>
      </c>
      <c r="K242" s="12"/>
      <c r="L242" s="12"/>
      <c r="M242" s="407">
        <v>5857</v>
      </c>
      <c r="N242" s="24">
        <v>86.7</v>
      </c>
      <c r="O242" s="12"/>
      <c r="P242" s="24"/>
      <c r="Q242" s="24">
        <v>86.7</v>
      </c>
      <c r="R242" s="24">
        <v>86.7</v>
      </c>
      <c r="S242" s="12"/>
      <c r="T242" s="24"/>
      <c r="U242" s="24">
        <v>86.7</v>
      </c>
      <c r="V242" s="407">
        <v>3395</v>
      </c>
      <c r="W242" s="407">
        <f>SUM(X242:AA242)</f>
        <v>3395</v>
      </c>
      <c r="X242" s="407">
        <v>3395</v>
      </c>
      <c r="Y242" s="407"/>
      <c r="Z242" s="407"/>
      <c r="AA242" s="407"/>
      <c r="AB242" s="349" t="s">
        <v>1622</v>
      </c>
      <c r="AC242" s="380">
        <f t="shared" si="168"/>
        <v>0</v>
      </c>
      <c r="AJ242" s="8" t="s">
        <v>685</v>
      </c>
    </row>
    <row r="243" spans="1:36" s="417" customFormat="1" ht="28.5" customHeight="1">
      <c r="A243" s="327" t="s">
        <v>1306</v>
      </c>
      <c r="B243" s="413" t="s">
        <v>1307</v>
      </c>
      <c r="C243" s="101" t="s">
        <v>623</v>
      </c>
      <c r="D243" s="494"/>
      <c r="E243" s="494"/>
      <c r="F243" s="494"/>
      <c r="G243" s="494"/>
      <c r="H243" s="494"/>
      <c r="I243" s="327"/>
      <c r="J243" s="331"/>
      <c r="K243" s="331"/>
      <c r="L243" s="331"/>
      <c r="M243" s="331"/>
      <c r="N243" s="331"/>
      <c r="O243" s="331"/>
      <c r="P243" s="331"/>
      <c r="Q243" s="331"/>
      <c r="R243" s="331"/>
      <c r="S243" s="331"/>
      <c r="T243" s="331"/>
      <c r="U243" s="331"/>
      <c r="V243" s="331"/>
      <c r="W243" s="331"/>
      <c r="X243" s="331"/>
      <c r="Y243" s="331"/>
      <c r="Z243" s="331"/>
      <c r="AA243" s="331"/>
      <c r="AB243" s="332"/>
      <c r="AC243" s="380">
        <f t="shared" si="168"/>
        <v>0</v>
      </c>
    </row>
    <row r="244" spans="1:36" s="231" customFormat="1" ht="41.25" customHeight="1">
      <c r="A244" s="320">
        <v>5</v>
      </c>
      <c r="B244" s="441" t="s">
        <v>1151</v>
      </c>
      <c r="C244" s="441" t="s">
        <v>1151</v>
      </c>
      <c r="D244" s="320"/>
      <c r="E244" s="320"/>
      <c r="F244" s="320"/>
      <c r="G244" s="320"/>
      <c r="H244" s="320"/>
      <c r="I244" s="441"/>
      <c r="J244" s="527">
        <f>J245</f>
        <v>30000</v>
      </c>
      <c r="K244" s="527">
        <f t="shared" ref="K244:AA244" si="183">K245</f>
        <v>0</v>
      </c>
      <c r="L244" s="527">
        <f t="shared" si="183"/>
        <v>0</v>
      </c>
      <c r="M244" s="527">
        <f t="shared" si="183"/>
        <v>30000</v>
      </c>
      <c r="N244" s="527">
        <f t="shared" si="183"/>
        <v>0</v>
      </c>
      <c r="O244" s="527">
        <f t="shared" si="183"/>
        <v>0</v>
      </c>
      <c r="P244" s="527">
        <f t="shared" si="183"/>
        <v>0</v>
      </c>
      <c r="Q244" s="527">
        <f t="shared" si="183"/>
        <v>0</v>
      </c>
      <c r="R244" s="527">
        <f t="shared" si="183"/>
        <v>14725</v>
      </c>
      <c r="S244" s="527">
        <f t="shared" si="183"/>
        <v>0</v>
      </c>
      <c r="T244" s="527">
        <f t="shared" si="183"/>
        <v>0</v>
      </c>
      <c r="U244" s="527">
        <f t="shared" si="183"/>
        <v>14725</v>
      </c>
      <c r="V244" s="527">
        <f t="shared" si="183"/>
        <v>15275</v>
      </c>
      <c r="W244" s="527">
        <f t="shared" si="183"/>
        <v>15275.4</v>
      </c>
      <c r="X244" s="527">
        <f t="shared" si="183"/>
        <v>0</v>
      </c>
      <c r="Y244" s="527">
        <f t="shared" si="183"/>
        <v>15275.4</v>
      </c>
      <c r="Z244" s="527">
        <f t="shared" si="183"/>
        <v>0</v>
      </c>
      <c r="AA244" s="527">
        <f t="shared" si="183"/>
        <v>0</v>
      </c>
      <c r="AB244" s="482"/>
      <c r="AC244" s="380">
        <f t="shared" si="168"/>
        <v>0</v>
      </c>
    </row>
    <row r="245" spans="1:36" s="422" customFormat="1" ht="41.25" customHeight="1">
      <c r="A245" s="421" t="s">
        <v>1309</v>
      </c>
      <c r="B245" s="443" t="s">
        <v>38</v>
      </c>
      <c r="C245" s="27" t="s">
        <v>1151</v>
      </c>
      <c r="D245" s="421"/>
      <c r="E245" s="421"/>
      <c r="F245" s="421"/>
      <c r="G245" s="421"/>
      <c r="H245" s="421"/>
      <c r="I245" s="443"/>
      <c r="J245" s="556">
        <f t="shared" ref="J245:AA245" si="184">+J246+J247+J249</f>
        <v>30000</v>
      </c>
      <c r="K245" s="556">
        <f t="shared" si="184"/>
        <v>0</v>
      </c>
      <c r="L245" s="556">
        <f t="shared" si="184"/>
        <v>0</v>
      </c>
      <c r="M245" s="556">
        <f t="shared" si="184"/>
        <v>30000</v>
      </c>
      <c r="N245" s="556">
        <f t="shared" si="184"/>
        <v>0</v>
      </c>
      <c r="O245" s="556">
        <f t="shared" si="184"/>
        <v>0</v>
      </c>
      <c r="P245" s="556">
        <f t="shared" si="184"/>
        <v>0</v>
      </c>
      <c r="Q245" s="556">
        <f t="shared" si="184"/>
        <v>0</v>
      </c>
      <c r="R245" s="556">
        <f t="shared" si="184"/>
        <v>14725</v>
      </c>
      <c r="S245" s="556">
        <f t="shared" si="184"/>
        <v>0</v>
      </c>
      <c r="T245" s="556">
        <f t="shared" si="184"/>
        <v>0</v>
      </c>
      <c r="U245" s="556">
        <f t="shared" si="184"/>
        <v>14725</v>
      </c>
      <c r="V245" s="556">
        <f t="shared" si="184"/>
        <v>15275</v>
      </c>
      <c r="W245" s="556">
        <f t="shared" si="184"/>
        <v>15275.4</v>
      </c>
      <c r="X245" s="556">
        <f t="shared" si="184"/>
        <v>0</v>
      </c>
      <c r="Y245" s="556">
        <f t="shared" si="184"/>
        <v>15275.4</v>
      </c>
      <c r="Z245" s="556">
        <f t="shared" si="184"/>
        <v>0</v>
      </c>
      <c r="AA245" s="556">
        <f t="shared" si="184"/>
        <v>0</v>
      </c>
      <c r="AB245" s="484"/>
      <c r="AC245" s="380">
        <f t="shared" si="168"/>
        <v>0</v>
      </c>
    </row>
    <row r="246" spans="1:36" s="10" customFormat="1" ht="39.75" customHeight="1">
      <c r="A246" s="332" t="s">
        <v>39</v>
      </c>
      <c r="B246" s="326" t="s">
        <v>1254</v>
      </c>
      <c r="C246" s="27" t="s">
        <v>1151</v>
      </c>
      <c r="D246" s="554"/>
      <c r="E246" s="332"/>
      <c r="F246" s="471"/>
      <c r="G246" s="471"/>
      <c r="H246" s="332"/>
      <c r="I246" s="471"/>
      <c r="J246" s="331"/>
      <c r="K246" s="331"/>
      <c r="L246" s="331"/>
      <c r="M246" s="331"/>
      <c r="N246" s="331"/>
      <c r="O246" s="331"/>
      <c r="P246" s="331"/>
      <c r="Q246" s="331"/>
      <c r="R246" s="331"/>
      <c r="S246" s="331"/>
      <c r="T246" s="331"/>
      <c r="U246" s="331"/>
      <c r="V246" s="331"/>
      <c r="W246" s="331"/>
      <c r="X246" s="331"/>
      <c r="Y246" s="331"/>
      <c r="Z246" s="331"/>
      <c r="AA246" s="331"/>
      <c r="AB246" s="332"/>
      <c r="AC246" s="380">
        <f t="shared" si="168"/>
        <v>0</v>
      </c>
    </row>
    <row r="247" spans="1:36" s="10" customFormat="1" ht="48" customHeight="1">
      <c r="A247" s="397" t="s">
        <v>467</v>
      </c>
      <c r="B247" s="326" t="s">
        <v>56</v>
      </c>
      <c r="C247" s="27" t="s">
        <v>1151</v>
      </c>
      <c r="D247" s="330"/>
      <c r="E247" s="330"/>
      <c r="F247" s="330"/>
      <c r="G247" s="330"/>
      <c r="H247" s="330"/>
      <c r="I247" s="329"/>
      <c r="J247" s="331">
        <f t="shared" ref="J247:AA247" si="185">SUM(J248)</f>
        <v>30000</v>
      </c>
      <c r="K247" s="331">
        <f t="shared" si="185"/>
        <v>0</v>
      </c>
      <c r="L247" s="331">
        <f t="shared" si="185"/>
        <v>0</v>
      </c>
      <c r="M247" s="331">
        <f t="shared" si="185"/>
        <v>30000</v>
      </c>
      <c r="N247" s="331">
        <f t="shared" si="185"/>
        <v>0</v>
      </c>
      <c r="O247" s="331">
        <f t="shared" si="185"/>
        <v>0</v>
      </c>
      <c r="P247" s="331">
        <f t="shared" si="185"/>
        <v>0</v>
      </c>
      <c r="Q247" s="331">
        <f t="shared" si="185"/>
        <v>0</v>
      </c>
      <c r="R247" s="331">
        <f t="shared" si="185"/>
        <v>14725</v>
      </c>
      <c r="S247" s="331">
        <f t="shared" si="185"/>
        <v>0</v>
      </c>
      <c r="T247" s="331">
        <f t="shared" si="185"/>
        <v>0</v>
      </c>
      <c r="U247" s="331">
        <f t="shared" si="185"/>
        <v>14725</v>
      </c>
      <c r="V247" s="331">
        <f t="shared" si="185"/>
        <v>15275</v>
      </c>
      <c r="W247" s="331">
        <f t="shared" si="185"/>
        <v>15275.4</v>
      </c>
      <c r="X247" s="331">
        <f t="shared" si="185"/>
        <v>0</v>
      </c>
      <c r="Y247" s="331">
        <f t="shared" si="185"/>
        <v>15275.4</v>
      </c>
      <c r="Z247" s="331">
        <f t="shared" si="185"/>
        <v>0</v>
      </c>
      <c r="AA247" s="331">
        <f t="shared" si="185"/>
        <v>0</v>
      </c>
      <c r="AB247" s="332"/>
      <c r="AC247" s="380">
        <f t="shared" si="168"/>
        <v>0</v>
      </c>
    </row>
    <row r="248" spans="1:36" s="8" customFormat="1" ht="39" customHeight="1">
      <c r="A248" s="32" t="s">
        <v>144</v>
      </c>
      <c r="B248" s="431" t="s">
        <v>1152</v>
      </c>
      <c r="C248" s="27" t="s">
        <v>1151</v>
      </c>
      <c r="D248" s="456" t="s">
        <v>1153</v>
      </c>
      <c r="E248" s="456"/>
      <c r="F248" s="557" t="s">
        <v>1154</v>
      </c>
      <c r="G248" s="390"/>
      <c r="H248" s="557" t="s">
        <v>207</v>
      </c>
      <c r="I248" s="457" t="s">
        <v>1155</v>
      </c>
      <c r="J248" s="457">
        <v>30000</v>
      </c>
      <c r="K248" s="12"/>
      <c r="L248" s="12"/>
      <c r="M248" s="457">
        <f>+J248</f>
        <v>30000</v>
      </c>
      <c r="N248" s="12"/>
      <c r="O248" s="12"/>
      <c r="P248" s="12"/>
      <c r="Q248" s="24"/>
      <c r="R248" s="24">
        <f>+U248</f>
        <v>14725</v>
      </c>
      <c r="S248" s="12"/>
      <c r="T248" s="12"/>
      <c r="U248" s="24">
        <v>14725</v>
      </c>
      <c r="V248" s="493">
        <v>15275</v>
      </c>
      <c r="W248" s="12">
        <f>SUM(X248:AA248)</f>
        <v>15275.4</v>
      </c>
      <c r="X248" s="12"/>
      <c r="Y248" s="12">
        <v>15275.4</v>
      </c>
      <c r="Z248" s="12"/>
      <c r="AA248" s="12"/>
      <c r="AB248" s="349" t="s">
        <v>1622</v>
      </c>
      <c r="AC248" s="380">
        <f t="shared" si="168"/>
        <v>0</v>
      </c>
      <c r="AJ248" s="8" t="s">
        <v>685</v>
      </c>
    </row>
    <row r="249" spans="1:36" s="417" customFormat="1" ht="28.5" customHeight="1">
      <c r="A249" s="327" t="s">
        <v>1306</v>
      </c>
      <c r="B249" s="413" t="s">
        <v>1307</v>
      </c>
      <c r="C249" s="27" t="s">
        <v>1151</v>
      </c>
      <c r="D249" s="494"/>
      <c r="E249" s="494"/>
      <c r="F249" s="494"/>
      <c r="G249" s="494"/>
      <c r="H249" s="494"/>
      <c r="I249" s="327"/>
      <c r="J249" s="331"/>
      <c r="K249" s="331"/>
      <c r="L249" s="331"/>
      <c r="M249" s="331"/>
      <c r="N249" s="331"/>
      <c r="O249" s="331"/>
      <c r="P249" s="331"/>
      <c r="Q249" s="331"/>
      <c r="R249" s="331"/>
      <c r="S249" s="331"/>
      <c r="T249" s="331"/>
      <c r="U249" s="331"/>
      <c r="V249" s="331"/>
      <c r="W249" s="331"/>
      <c r="X249" s="331"/>
      <c r="Y249" s="331"/>
      <c r="Z249" s="331"/>
      <c r="AA249" s="331"/>
      <c r="AB249" s="332"/>
      <c r="AC249" s="380">
        <f t="shared" si="168"/>
        <v>0</v>
      </c>
    </row>
    <row r="250" spans="1:36" s="501" customFormat="1" ht="39.75" customHeight="1">
      <c r="A250" s="389">
        <v>6</v>
      </c>
      <c r="B250" s="441" t="s">
        <v>1156</v>
      </c>
      <c r="C250" s="441" t="s">
        <v>1156</v>
      </c>
      <c r="D250" s="389"/>
      <c r="E250" s="389"/>
      <c r="F250" s="389"/>
      <c r="G250" s="389"/>
      <c r="H250" s="389"/>
      <c r="I250" s="475"/>
      <c r="J250" s="558">
        <f>J251</f>
        <v>20000</v>
      </c>
      <c r="K250" s="558">
        <f t="shared" ref="K250:AA250" si="186">K251</f>
        <v>0</v>
      </c>
      <c r="L250" s="558">
        <f t="shared" si="186"/>
        <v>0</v>
      </c>
      <c r="M250" s="558">
        <f t="shared" si="186"/>
        <v>20000</v>
      </c>
      <c r="N250" s="558">
        <f t="shared" si="186"/>
        <v>6000</v>
      </c>
      <c r="O250" s="558">
        <f t="shared" si="186"/>
        <v>0</v>
      </c>
      <c r="P250" s="558">
        <f t="shared" si="186"/>
        <v>0</v>
      </c>
      <c r="Q250" s="558">
        <f t="shared" si="186"/>
        <v>6000</v>
      </c>
      <c r="R250" s="558">
        <f t="shared" si="186"/>
        <v>6000</v>
      </c>
      <c r="S250" s="558">
        <f t="shared" si="186"/>
        <v>0</v>
      </c>
      <c r="T250" s="558">
        <f t="shared" si="186"/>
        <v>0</v>
      </c>
      <c r="U250" s="558">
        <f t="shared" si="186"/>
        <v>6000</v>
      </c>
      <c r="V250" s="558">
        <f t="shared" si="186"/>
        <v>14000</v>
      </c>
      <c r="W250" s="558">
        <f t="shared" si="186"/>
        <v>13000</v>
      </c>
      <c r="X250" s="558">
        <f t="shared" si="186"/>
        <v>13000</v>
      </c>
      <c r="Y250" s="558">
        <f t="shared" si="186"/>
        <v>0</v>
      </c>
      <c r="Z250" s="558">
        <f t="shared" si="186"/>
        <v>0</v>
      </c>
      <c r="AA250" s="558">
        <f t="shared" si="186"/>
        <v>0</v>
      </c>
      <c r="AB250" s="559"/>
      <c r="AC250" s="380">
        <f t="shared" si="168"/>
        <v>0</v>
      </c>
    </row>
    <row r="251" spans="1:36" s="563" customFormat="1" ht="39.75" customHeight="1">
      <c r="A251" s="442" t="s">
        <v>1311</v>
      </c>
      <c r="B251" s="443" t="s">
        <v>38</v>
      </c>
      <c r="C251" s="27" t="s">
        <v>1156</v>
      </c>
      <c r="D251" s="442"/>
      <c r="E251" s="442"/>
      <c r="F251" s="442"/>
      <c r="G251" s="442"/>
      <c r="H251" s="442"/>
      <c r="I251" s="560"/>
      <c r="J251" s="561">
        <f t="shared" ref="J251:AA251" si="187">+J252+J253+J255</f>
        <v>20000</v>
      </c>
      <c r="K251" s="561">
        <f t="shared" si="187"/>
        <v>0</v>
      </c>
      <c r="L251" s="561">
        <f t="shared" si="187"/>
        <v>0</v>
      </c>
      <c r="M251" s="561">
        <f t="shared" si="187"/>
        <v>20000</v>
      </c>
      <c r="N251" s="561">
        <f t="shared" si="187"/>
        <v>6000</v>
      </c>
      <c r="O251" s="561">
        <f t="shared" si="187"/>
        <v>0</v>
      </c>
      <c r="P251" s="561">
        <f t="shared" si="187"/>
        <v>0</v>
      </c>
      <c r="Q251" s="561">
        <f t="shared" si="187"/>
        <v>6000</v>
      </c>
      <c r="R251" s="561">
        <f t="shared" si="187"/>
        <v>6000</v>
      </c>
      <c r="S251" s="561">
        <f t="shared" si="187"/>
        <v>0</v>
      </c>
      <c r="T251" s="561">
        <f t="shared" si="187"/>
        <v>0</v>
      </c>
      <c r="U251" s="561">
        <f t="shared" si="187"/>
        <v>6000</v>
      </c>
      <c r="V251" s="561">
        <f t="shared" si="187"/>
        <v>14000</v>
      </c>
      <c r="W251" s="561">
        <f t="shared" si="187"/>
        <v>13000</v>
      </c>
      <c r="X251" s="561">
        <f t="shared" si="187"/>
        <v>13000</v>
      </c>
      <c r="Y251" s="561">
        <f t="shared" si="187"/>
        <v>0</v>
      </c>
      <c r="Z251" s="561">
        <f t="shared" si="187"/>
        <v>0</v>
      </c>
      <c r="AA251" s="561">
        <f t="shared" si="187"/>
        <v>0</v>
      </c>
      <c r="AB251" s="562"/>
      <c r="AC251" s="380">
        <f t="shared" si="168"/>
        <v>0</v>
      </c>
    </row>
    <row r="252" spans="1:36" s="10" customFormat="1" ht="39.75" customHeight="1">
      <c r="A252" s="332" t="s">
        <v>39</v>
      </c>
      <c r="B252" s="326" t="s">
        <v>1254</v>
      </c>
      <c r="C252" s="27" t="s">
        <v>1156</v>
      </c>
      <c r="D252" s="554"/>
      <c r="E252" s="332"/>
      <c r="F252" s="471"/>
      <c r="G252" s="471"/>
      <c r="H252" s="332"/>
      <c r="I252" s="471"/>
      <c r="J252" s="331"/>
      <c r="K252" s="331"/>
      <c r="L252" s="331"/>
      <c r="M252" s="331"/>
      <c r="N252" s="331"/>
      <c r="O252" s="331"/>
      <c r="P252" s="331"/>
      <c r="Q252" s="331"/>
      <c r="R252" s="331"/>
      <c r="S252" s="331"/>
      <c r="T252" s="331"/>
      <c r="U252" s="331"/>
      <c r="V252" s="331"/>
      <c r="W252" s="331"/>
      <c r="X252" s="331"/>
      <c r="Y252" s="331"/>
      <c r="Z252" s="331"/>
      <c r="AA252" s="331"/>
      <c r="AB252" s="332"/>
      <c r="AC252" s="380">
        <f t="shared" si="168"/>
        <v>0</v>
      </c>
    </row>
    <row r="253" spans="1:36" s="417" customFormat="1" ht="48" customHeight="1">
      <c r="A253" s="397" t="s">
        <v>467</v>
      </c>
      <c r="B253" s="326" t="s">
        <v>56</v>
      </c>
      <c r="C253" s="27" t="s">
        <v>1156</v>
      </c>
      <c r="D253" s="327"/>
      <c r="E253" s="327"/>
      <c r="F253" s="327"/>
      <c r="G253" s="327"/>
      <c r="H253" s="327"/>
      <c r="I253" s="494"/>
      <c r="J253" s="564">
        <f t="shared" ref="J253:AA253" si="188">SUM(J254)</f>
        <v>20000</v>
      </c>
      <c r="K253" s="564">
        <f t="shared" si="188"/>
        <v>0</v>
      </c>
      <c r="L253" s="564">
        <f t="shared" si="188"/>
        <v>0</v>
      </c>
      <c r="M253" s="564">
        <f t="shared" si="188"/>
        <v>20000</v>
      </c>
      <c r="N253" s="564">
        <f t="shared" si="188"/>
        <v>6000</v>
      </c>
      <c r="O253" s="564">
        <f t="shared" si="188"/>
        <v>0</v>
      </c>
      <c r="P253" s="564">
        <f t="shared" si="188"/>
        <v>0</v>
      </c>
      <c r="Q253" s="564">
        <f t="shared" si="188"/>
        <v>6000</v>
      </c>
      <c r="R253" s="564">
        <f t="shared" si="188"/>
        <v>6000</v>
      </c>
      <c r="S253" s="564">
        <f t="shared" si="188"/>
        <v>0</v>
      </c>
      <c r="T253" s="564">
        <f t="shared" si="188"/>
        <v>0</v>
      </c>
      <c r="U253" s="564">
        <f t="shared" si="188"/>
        <v>6000</v>
      </c>
      <c r="V253" s="564">
        <f t="shared" si="188"/>
        <v>14000</v>
      </c>
      <c r="W253" s="564">
        <f t="shared" si="188"/>
        <v>13000</v>
      </c>
      <c r="X253" s="564">
        <f t="shared" si="188"/>
        <v>13000</v>
      </c>
      <c r="Y253" s="564">
        <f t="shared" si="188"/>
        <v>0</v>
      </c>
      <c r="Z253" s="564">
        <f t="shared" si="188"/>
        <v>0</v>
      </c>
      <c r="AA253" s="564">
        <f t="shared" si="188"/>
        <v>0</v>
      </c>
      <c r="AB253" s="565"/>
      <c r="AC253" s="380">
        <f t="shared" si="168"/>
        <v>0</v>
      </c>
    </row>
    <row r="254" spans="1:36" s="7" customFormat="1" ht="78.75" customHeight="1">
      <c r="A254" s="32" t="s">
        <v>144</v>
      </c>
      <c r="B254" s="27" t="s">
        <v>1157</v>
      </c>
      <c r="C254" s="27" t="s">
        <v>1156</v>
      </c>
      <c r="D254" s="313">
        <v>8117147</v>
      </c>
      <c r="E254" s="313"/>
      <c r="F254" s="13" t="s">
        <v>86</v>
      </c>
      <c r="G254" s="13" t="s">
        <v>1158</v>
      </c>
      <c r="H254" s="13" t="s">
        <v>207</v>
      </c>
      <c r="I254" s="13" t="s">
        <v>1159</v>
      </c>
      <c r="J254" s="526">
        <v>20000</v>
      </c>
      <c r="K254" s="526"/>
      <c r="L254" s="526"/>
      <c r="M254" s="526">
        <v>20000</v>
      </c>
      <c r="N254" s="526">
        <v>6000</v>
      </c>
      <c r="O254" s="526"/>
      <c r="P254" s="526"/>
      <c r="Q254" s="526">
        <v>6000</v>
      </c>
      <c r="R254" s="526">
        <v>6000</v>
      </c>
      <c r="S254" s="526"/>
      <c r="T254" s="526"/>
      <c r="U254" s="526">
        <v>6000</v>
      </c>
      <c r="V254" s="407">
        <v>14000</v>
      </c>
      <c r="W254" s="526">
        <f>SUM(X254:AA254)</f>
        <v>13000</v>
      </c>
      <c r="X254" s="526">
        <v>13000</v>
      </c>
      <c r="Y254" s="526"/>
      <c r="Z254" s="526"/>
      <c r="AA254" s="526"/>
      <c r="AB254" s="349" t="s">
        <v>1622</v>
      </c>
      <c r="AC254" s="380">
        <f t="shared" si="168"/>
        <v>0</v>
      </c>
      <c r="AJ254" s="8" t="s">
        <v>685</v>
      </c>
    </row>
    <row r="255" spans="1:36" s="417" customFormat="1" ht="28.5" customHeight="1">
      <c r="A255" s="327" t="s">
        <v>1306</v>
      </c>
      <c r="B255" s="413" t="s">
        <v>1307</v>
      </c>
      <c r="C255" s="27" t="s">
        <v>1156</v>
      </c>
      <c r="D255" s="494"/>
      <c r="E255" s="494"/>
      <c r="F255" s="494"/>
      <c r="G255" s="494"/>
      <c r="H255" s="494"/>
      <c r="I255" s="327"/>
      <c r="J255" s="331"/>
      <c r="K255" s="331"/>
      <c r="L255" s="331"/>
      <c r="M255" s="331"/>
      <c r="N255" s="331"/>
      <c r="O255" s="331"/>
      <c r="P255" s="331"/>
      <c r="Q255" s="331"/>
      <c r="R255" s="331"/>
      <c r="S255" s="331"/>
      <c r="T255" s="331"/>
      <c r="U255" s="331"/>
      <c r="V255" s="331"/>
      <c r="W255" s="331"/>
      <c r="X255" s="331"/>
      <c r="Y255" s="331"/>
      <c r="Z255" s="331"/>
      <c r="AA255" s="331"/>
      <c r="AB255" s="332"/>
      <c r="AC255" s="380">
        <f t="shared" si="168"/>
        <v>0</v>
      </c>
    </row>
    <row r="256" spans="1:36" s="501" customFormat="1" ht="38.25" customHeight="1">
      <c r="A256" s="485">
        <v>7</v>
      </c>
      <c r="B256" s="441" t="s">
        <v>55</v>
      </c>
      <c r="C256" s="441" t="s">
        <v>55</v>
      </c>
      <c r="D256" s="389"/>
      <c r="E256" s="389"/>
      <c r="F256" s="320"/>
      <c r="G256" s="320"/>
      <c r="H256" s="320"/>
      <c r="I256" s="320"/>
      <c r="J256" s="527">
        <f t="shared" ref="J256:AA256" si="189">J257</f>
        <v>124740</v>
      </c>
      <c r="K256" s="527">
        <f t="shared" si="189"/>
        <v>0</v>
      </c>
      <c r="L256" s="527">
        <f t="shared" si="189"/>
        <v>0</v>
      </c>
      <c r="M256" s="527">
        <f t="shared" si="189"/>
        <v>124740</v>
      </c>
      <c r="N256" s="527">
        <f t="shared" si="189"/>
        <v>109709</v>
      </c>
      <c r="O256" s="527">
        <f t="shared" si="189"/>
        <v>0</v>
      </c>
      <c r="P256" s="527">
        <f t="shared" si="189"/>
        <v>0</v>
      </c>
      <c r="Q256" s="527">
        <f t="shared" si="189"/>
        <v>109709</v>
      </c>
      <c r="R256" s="527">
        <f t="shared" si="189"/>
        <v>109709</v>
      </c>
      <c r="S256" s="527">
        <f t="shared" si="189"/>
        <v>0</v>
      </c>
      <c r="T256" s="527">
        <f t="shared" si="189"/>
        <v>0</v>
      </c>
      <c r="U256" s="527">
        <f t="shared" si="189"/>
        <v>109709</v>
      </c>
      <c r="V256" s="527">
        <f t="shared" si="189"/>
        <v>15031</v>
      </c>
      <c r="W256" s="527">
        <f t="shared" si="189"/>
        <v>15031</v>
      </c>
      <c r="X256" s="527">
        <f t="shared" si="189"/>
        <v>15031</v>
      </c>
      <c r="Y256" s="527">
        <f t="shared" si="189"/>
        <v>0</v>
      </c>
      <c r="Z256" s="527">
        <f t="shared" si="189"/>
        <v>0</v>
      </c>
      <c r="AA256" s="527">
        <f t="shared" si="189"/>
        <v>0</v>
      </c>
      <c r="AB256" s="482"/>
      <c r="AC256" s="380">
        <f t="shared" si="168"/>
        <v>0</v>
      </c>
    </row>
    <row r="257" spans="1:43" s="563" customFormat="1" ht="27.75" customHeight="1">
      <c r="A257" s="486" t="s">
        <v>1312</v>
      </c>
      <c r="B257" s="443" t="s">
        <v>38</v>
      </c>
      <c r="C257" s="27" t="s">
        <v>55</v>
      </c>
      <c r="D257" s="442"/>
      <c r="E257" s="442"/>
      <c r="F257" s="421"/>
      <c r="G257" s="421"/>
      <c r="H257" s="421"/>
      <c r="I257" s="421"/>
      <c r="J257" s="556">
        <f t="shared" ref="J257:AA257" si="190">J259+J258+J261</f>
        <v>124740</v>
      </c>
      <c r="K257" s="556">
        <f t="shared" si="190"/>
        <v>0</v>
      </c>
      <c r="L257" s="556">
        <f t="shared" si="190"/>
        <v>0</v>
      </c>
      <c r="M257" s="556">
        <f t="shared" si="190"/>
        <v>124740</v>
      </c>
      <c r="N257" s="556">
        <f t="shared" si="190"/>
        <v>109709</v>
      </c>
      <c r="O257" s="556">
        <f t="shared" si="190"/>
        <v>0</v>
      </c>
      <c r="P257" s="556">
        <f t="shared" si="190"/>
        <v>0</v>
      </c>
      <c r="Q257" s="556">
        <f t="shared" si="190"/>
        <v>109709</v>
      </c>
      <c r="R257" s="556">
        <f t="shared" si="190"/>
        <v>109709</v>
      </c>
      <c r="S257" s="556">
        <f t="shared" si="190"/>
        <v>0</v>
      </c>
      <c r="T257" s="556">
        <f t="shared" si="190"/>
        <v>0</v>
      </c>
      <c r="U257" s="556">
        <f t="shared" si="190"/>
        <v>109709</v>
      </c>
      <c r="V257" s="556">
        <f t="shared" si="190"/>
        <v>15031</v>
      </c>
      <c r="W257" s="556">
        <f t="shared" si="190"/>
        <v>15031</v>
      </c>
      <c r="X257" s="556">
        <f t="shared" si="190"/>
        <v>15031</v>
      </c>
      <c r="Y257" s="556">
        <f t="shared" si="190"/>
        <v>0</v>
      </c>
      <c r="Z257" s="556">
        <f t="shared" si="190"/>
        <v>0</v>
      </c>
      <c r="AA257" s="556">
        <f t="shared" si="190"/>
        <v>0</v>
      </c>
      <c r="AB257" s="484"/>
      <c r="AC257" s="380">
        <f t="shared" si="168"/>
        <v>0</v>
      </c>
    </row>
    <row r="258" spans="1:43" s="10" customFormat="1" ht="39.75" customHeight="1">
      <c r="A258" s="332" t="s">
        <v>39</v>
      </c>
      <c r="B258" s="326" t="s">
        <v>1254</v>
      </c>
      <c r="C258" s="27" t="s">
        <v>55</v>
      </c>
      <c r="D258" s="554"/>
      <c r="E258" s="332"/>
      <c r="F258" s="471"/>
      <c r="G258" s="471"/>
      <c r="H258" s="332"/>
      <c r="I258" s="471"/>
      <c r="J258" s="331"/>
      <c r="K258" s="331"/>
      <c r="L258" s="331"/>
      <c r="M258" s="331"/>
      <c r="N258" s="331"/>
      <c r="O258" s="331"/>
      <c r="P258" s="331"/>
      <c r="Q258" s="331"/>
      <c r="R258" s="331"/>
      <c r="S258" s="331"/>
      <c r="T258" s="331"/>
      <c r="U258" s="331"/>
      <c r="V258" s="331"/>
      <c r="W258" s="331"/>
      <c r="X258" s="331"/>
      <c r="Y258" s="331"/>
      <c r="Z258" s="331"/>
      <c r="AA258" s="331"/>
      <c r="AB258" s="332"/>
      <c r="AC258" s="380">
        <f t="shared" si="168"/>
        <v>0</v>
      </c>
    </row>
    <row r="259" spans="1:43" s="417" customFormat="1" ht="45" customHeight="1">
      <c r="A259" s="397" t="s">
        <v>467</v>
      </c>
      <c r="B259" s="326" t="s">
        <v>56</v>
      </c>
      <c r="C259" s="27" t="s">
        <v>55</v>
      </c>
      <c r="D259" s="327"/>
      <c r="E259" s="327"/>
      <c r="F259" s="328"/>
      <c r="G259" s="328"/>
      <c r="H259" s="328"/>
      <c r="I259" s="328"/>
      <c r="J259" s="528">
        <f t="shared" ref="J259:AA259" si="191">SUM(J260)</f>
        <v>124740</v>
      </c>
      <c r="K259" s="528">
        <f t="shared" si="191"/>
        <v>0</v>
      </c>
      <c r="L259" s="528">
        <f t="shared" si="191"/>
        <v>0</v>
      </c>
      <c r="M259" s="528">
        <f t="shared" si="191"/>
        <v>124740</v>
      </c>
      <c r="N259" s="528">
        <f t="shared" si="191"/>
        <v>109709</v>
      </c>
      <c r="O259" s="528">
        <f t="shared" si="191"/>
        <v>0</v>
      </c>
      <c r="P259" s="528">
        <f t="shared" si="191"/>
        <v>0</v>
      </c>
      <c r="Q259" s="528">
        <f t="shared" si="191"/>
        <v>109709</v>
      </c>
      <c r="R259" s="528">
        <f t="shared" si="191"/>
        <v>109709</v>
      </c>
      <c r="S259" s="528">
        <f t="shared" si="191"/>
        <v>0</v>
      </c>
      <c r="T259" s="528">
        <f t="shared" si="191"/>
        <v>0</v>
      </c>
      <c r="U259" s="528">
        <f t="shared" si="191"/>
        <v>109709</v>
      </c>
      <c r="V259" s="528">
        <f t="shared" si="191"/>
        <v>15031</v>
      </c>
      <c r="W259" s="528">
        <f t="shared" si="191"/>
        <v>15031</v>
      </c>
      <c r="X259" s="528">
        <f t="shared" si="191"/>
        <v>15031</v>
      </c>
      <c r="Y259" s="528">
        <f t="shared" si="191"/>
        <v>0</v>
      </c>
      <c r="Z259" s="528">
        <f t="shared" si="191"/>
        <v>0</v>
      </c>
      <c r="AA259" s="528">
        <f t="shared" si="191"/>
        <v>0</v>
      </c>
      <c r="AB259" s="481"/>
      <c r="AC259" s="380">
        <f t="shared" si="168"/>
        <v>0</v>
      </c>
    </row>
    <row r="260" spans="1:43" s="7" customFormat="1" ht="69" customHeight="1">
      <c r="A260" s="32" t="s">
        <v>144</v>
      </c>
      <c r="B260" s="27" t="s">
        <v>1160</v>
      </c>
      <c r="C260" s="27" t="s">
        <v>55</v>
      </c>
      <c r="D260" s="313">
        <v>7726885</v>
      </c>
      <c r="E260" s="313"/>
      <c r="F260" s="13" t="s">
        <v>92</v>
      </c>
      <c r="G260" s="13" t="s">
        <v>1161</v>
      </c>
      <c r="H260" s="13" t="s">
        <v>73</v>
      </c>
      <c r="I260" s="13" t="s">
        <v>1162</v>
      </c>
      <c r="J260" s="526">
        <v>124740</v>
      </c>
      <c r="K260" s="526"/>
      <c r="L260" s="526"/>
      <c r="M260" s="526">
        <v>124740</v>
      </c>
      <c r="N260" s="526">
        <v>109709</v>
      </c>
      <c r="O260" s="526"/>
      <c r="P260" s="526"/>
      <c r="Q260" s="526">
        <v>109709</v>
      </c>
      <c r="R260" s="526">
        <v>109709</v>
      </c>
      <c r="S260" s="526"/>
      <c r="T260" s="526"/>
      <c r="U260" s="526">
        <v>109709</v>
      </c>
      <c r="V260" s="407">
        <v>15031</v>
      </c>
      <c r="W260" s="526">
        <f>SUM(X260:AA260)</f>
        <v>15031</v>
      </c>
      <c r="X260" s="526">
        <v>15031</v>
      </c>
      <c r="Y260" s="526"/>
      <c r="Z260" s="526"/>
      <c r="AA260" s="526"/>
      <c r="AB260" s="349" t="s">
        <v>1622</v>
      </c>
      <c r="AC260" s="380">
        <f t="shared" si="168"/>
        <v>0</v>
      </c>
      <c r="AJ260" s="8" t="s">
        <v>685</v>
      </c>
    </row>
    <row r="261" spans="1:43" s="417" customFormat="1" ht="40.5" customHeight="1">
      <c r="A261" s="327" t="s">
        <v>1306</v>
      </c>
      <c r="B261" s="413" t="s">
        <v>1307</v>
      </c>
      <c r="C261" s="27" t="s">
        <v>55</v>
      </c>
      <c r="D261" s="494"/>
      <c r="E261" s="494"/>
      <c r="F261" s="494"/>
      <c r="G261" s="494"/>
      <c r="H261" s="494"/>
      <c r="I261" s="327"/>
      <c r="J261" s="331"/>
      <c r="K261" s="331"/>
      <c r="L261" s="331"/>
      <c r="M261" s="331"/>
      <c r="N261" s="331"/>
      <c r="O261" s="331"/>
      <c r="P261" s="331"/>
      <c r="Q261" s="331"/>
      <c r="R261" s="331"/>
      <c r="S261" s="331"/>
      <c r="T261" s="331"/>
      <c r="U261" s="331"/>
      <c r="V261" s="331"/>
      <c r="W261" s="331"/>
      <c r="X261" s="331"/>
      <c r="Y261" s="331"/>
      <c r="Z261" s="331"/>
      <c r="AA261" s="331"/>
      <c r="AB261" s="332"/>
      <c r="AC261" s="380">
        <f t="shared" si="168"/>
        <v>0</v>
      </c>
    </row>
    <row r="262" spans="1:43" s="501" customFormat="1" ht="39.75" customHeight="1">
      <c r="A262" s="485">
        <v>8</v>
      </c>
      <c r="B262" s="441" t="s">
        <v>694</v>
      </c>
      <c r="C262" s="441" t="s">
        <v>694</v>
      </c>
      <c r="D262" s="389"/>
      <c r="E262" s="389"/>
      <c r="F262" s="320"/>
      <c r="G262" s="320"/>
      <c r="H262" s="320"/>
      <c r="I262" s="320"/>
      <c r="J262" s="527">
        <f t="shared" ref="J262:AA262" si="192">J263</f>
        <v>45000</v>
      </c>
      <c r="K262" s="527">
        <f t="shared" si="192"/>
        <v>0</v>
      </c>
      <c r="L262" s="527">
        <f t="shared" si="192"/>
        <v>0</v>
      </c>
      <c r="M262" s="527">
        <f t="shared" si="192"/>
        <v>45000</v>
      </c>
      <c r="N262" s="527">
        <f t="shared" si="192"/>
        <v>23000</v>
      </c>
      <c r="O262" s="527">
        <f t="shared" si="192"/>
        <v>0</v>
      </c>
      <c r="P262" s="527">
        <f t="shared" si="192"/>
        <v>0</v>
      </c>
      <c r="Q262" s="527">
        <f t="shared" si="192"/>
        <v>23000</v>
      </c>
      <c r="R262" s="527">
        <f t="shared" si="192"/>
        <v>23000</v>
      </c>
      <c r="S262" s="527">
        <f t="shared" si="192"/>
        <v>0</v>
      </c>
      <c r="T262" s="527">
        <f t="shared" si="192"/>
        <v>0</v>
      </c>
      <c r="U262" s="527">
        <f t="shared" si="192"/>
        <v>23000</v>
      </c>
      <c r="V262" s="527">
        <f t="shared" si="192"/>
        <v>22000</v>
      </c>
      <c r="W262" s="527">
        <f t="shared" si="192"/>
        <v>22000</v>
      </c>
      <c r="X262" s="527">
        <f t="shared" si="192"/>
        <v>0</v>
      </c>
      <c r="Y262" s="527">
        <f t="shared" si="192"/>
        <v>22000</v>
      </c>
      <c r="Z262" s="527">
        <f t="shared" si="192"/>
        <v>0</v>
      </c>
      <c r="AA262" s="527">
        <f t="shared" si="192"/>
        <v>0</v>
      </c>
      <c r="AB262" s="482"/>
      <c r="AC262" s="380">
        <f t="shared" si="168"/>
        <v>0</v>
      </c>
    </row>
    <row r="263" spans="1:43" s="417" customFormat="1" ht="46.5" customHeight="1">
      <c r="A263" s="486" t="s">
        <v>1315</v>
      </c>
      <c r="B263" s="443" t="s">
        <v>38</v>
      </c>
      <c r="C263" s="27" t="s">
        <v>694</v>
      </c>
      <c r="D263" s="327"/>
      <c r="E263" s="327"/>
      <c r="F263" s="328"/>
      <c r="G263" s="328"/>
      <c r="H263" s="328"/>
      <c r="I263" s="328"/>
      <c r="J263" s="556">
        <f t="shared" ref="J263:AA263" si="193">J265+J264+J267</f>
        <v>45000</v>
      </c>
      <c r="K263" s="556">
        <f t="shared" si="193"/>
        <v>0</v>
      </c>
      <c r="L263" s="556">
        <f t="shared" si="193"/>
        <v>0</v>
      </c>
      <c r="M263" s="556">
        <f t="shared" si="193"/>
        <v>45000</v>
      </c>
      <c r="N263" s="556">
        <f t="shared" si="193"/>
        <v>23000</v>
      </c>
      <c r="O263" s="556">
        <f t="shared" si="193"/>
        <v>0</v>
      </c>
      <c r="P263" s="556">
        <f t="shared" si="193"/>
        <v>0</v>
      </c>
      <c r="Q263" s="556">
        <f t="shared" si="193"/>
        <v>23000</v>
      </c>
      <c r="R263" s="556">
        <f t="shared" si="193"/>
        <v>23000</v>
      </c>
      <c r="S263" s="556">
        <f t="shared" si="193"/>
        <v>0</v>
      </c>
      <c r="T263" s="556">
        <f t="shared" si="193"/>
        <v>0</v>
      </c>
      <c r="U263" s="556">
        <f t="shared" si="193"/>
        <v>23000</v>
      </c>
      <c r="V263" s="556">
        <f t="shared" si="193"/>
        <v>22000</v>
      </c>
      <c r="W263" s="556">
        <f t="shared" si="193"/>
        <v>22000</v>
      </c>
      <c r="X263" s="556">
        <f t="shared" si="193"/>
        <v>0</v>
      </c>
      <c r="Y263" s="556">
        <f t="shared" si="193"/>
        <v>22000</v>
      </c>
      <c r="Z263" s="556">
        <f t="shared" si="193"/>
        <v>0</v>
      </c>
      <c r="AA263" s="556">
        <f t="shared" si="193"/>
        <v>0</v>
      </c>
      <c r="AB263" s="484"/>
      <c r="AC263" s="380">
        <f t="shared" si="168"/>
        <v>0</v>
      </c>
    </row>
    <row r="264" spans="1:43" s="10" customFormat="1" ht="51.75" customHeight="1">
      <c r="A264" s="332" t="s">
        <v>39</v>
      </c>
      <c r="B264" s="326" t="s">
        <v>1254</v>
      </c>
      <c r="C264" s="27" t="s">
        <v>694</v>
      </c>
      <c r="D264" s="554"/>
      <c r="E264" s="332"/>
      <c r="F264" s="471"/>
      <c r="G264" s="471"/>
      <c r="H264" s="332"/>
      <c r="I264" s="471"/>
      <c r="J264" s="331"/>
      <c r="K264" s="331"/>
      <c r="L264" s="331"/>
      <c r="M264" s="331"/>
      <c r="N264" s="331"/>
      <c r="O264" s="331"/>
      <c r="P264" s="331"/>
      <c r="Q264" s="331"/>
      <c r="R264" s="331"/>
      <c r="S264" s="331"/>
      <c r="T264" s="331"/>
      <c r="U264" s="331"/>
      <c r="V264" s="331"/>
      <c r="W264" s="331"/>
      <c r="X264" s="331"/>
      <c r="Y264" s="331"/>
      <c r="Z264" s="331"/>
      <c r="AA264" s="331"/>
      <c r="AB264" s="332"/>
      <c r="AC264" s="380">
        <f t="shared" si="168"/>
        <v>0</v>
      </c>
    </row>
    <row r="265" spans="1:43" s="417" customFormat="1" ht="50.25" customHeight="1">
      <c r="A265" s="397" t="s">
        <v>467</v>
      </c>
      <c r="B265" s="326" t="s">
        <v>56</v>
      </c>
      <c r="C265" s="27" t="s">
        <v>694</v>
      </c>
      <c r="D265" s="327"/>
      <c r="E265" s="327"/>
      <c r="F265" s="328"/>
      <c r="G265" s="328"/>
      <c r="H265" s="328"/>
      <c r="I265" s="328"/>
      <c r="J265" s="528">
        <f t="shared" ref="J265:AA265" si="194">SUM(J266)</f>
        <v>45000</v>
      </c>
      <c r="K265" s="528">
        <f t="shared" si="194"/>
        <v>0</v>
      </c>
      <c r="L265" s="528">
        <f t="shared" si="194"/>
        <v>0</v>
      </c>
      <c r="M265" s="528">
        <f t="shared" si="194"/>
        <v>45000</v>
      </c>
      <c r="N265" s="528">
        <f t="shared" si="194"/>
        <v>23000</v>
      </c>
      <c r="O265" s="528">
        <f t="shared" si="194"/>
        <v>0</v>
      </c>
      <c r="P265" s="528">
        <f t="shared" si="194"/>
        <v>0</v>
      </c>
      <c r="Q265" s="528">
        <f t="shared" si="194"/>
        <v>23000</v>
      </c>
      <c r="R265" s="528">
        <f t="shared" si="194"/>
        <v>23000</v>
      </c>
      <c r="S265" s="528">
        <f t="shared" si="194"/>
        <v>0</v>
      </c>
      <c r="T265" s="528">
        <f t="shared" si="194"/>
        <v>0</v>
      </c>
      <c r="U265" s="528">
        <f t="shared" si="194"/>
        <v>23000</v>
      </c>
      <c r="V265" s="528">
        <f t="shared" si="194"/>
        <v>22000</v>
      </c>
      <c r="W265" s="528">
        <f t="shared" si="194"/>
        <v>22000</v>
      </c>
      <c r="X265" s="528">
        <f t="shared" si="194"/>
        <v>0</v>
      </c>
      <c r="Y265" s="528">
        <f t="shared" si="194"/>
        <v>22000</v>
      </c>
      <c r="Z265" s="528">
        <f t="shared" si="194"/>
        <v>0</v>
      </c>
      <c r="AA265" s="528">
        <f t="shared" si="194"/>
        <v>0</v>
      </c>
      <c r="AB265" s="481"/>
      <c r="AC265" s="380">
        <f t="shared" si="168"/>
        <v>0</v>
      </c>
    </row>
    <row r="266" spans="1:43" s="7" customFormat="1" ht="57.75" customHeight="1">
      <c r="A266" s="32" t="s">
        <v>144</v>
      </c>
      <c r="B266" s="27" t="s">
        <v>1163</v>
      </c>
      <c r="C266" s="27" t="s">
        <v>694</v>
      </c>
      <c r="D266" s="313">
        <v>8098400</v>
      </c>
      <c r="E266" s="313"/>
      <c r="F266" s="13" t="s">
        <v>887</v>
      </c>
      <c r="G266" s="13"/>
      <c r="H266" s="13" t="s">
        <v>240</v>
      </c>
      <c r="I266" s="13" t="s">
        <v>1164</v>
      </c>
      <c r="J266" s="526">
        <v>45000</v>
      </c>
      <c r="K266" s="526"/>
      <c r="L266" s="526"/>
      <c r="M266" s="526">
        <v>45000</v>
      </c>
      <c r="N266" s="526">
        <v>23000</v>
      </c>
      <c r="O266" s="526"/>
      <c r="P266" s="526"/>
      <c r="Q266" s="526">
        <v>23000</v>
      </c>
      <c r="R266" s="526">
        <v>23000</v>
      </c>
      <c r="S266" s="526"/>
      <c r="T266" s="526"/>
      <c r="U266" s="526">
        <v>23000</v>
      </c>
      <c r="V266" s="407">
        <v>22000</v>
      </c>
      <c r="W266" s="526">
        <f>SUM(X266:AA266)</f>
        <v>22000</v>
      </c>
      <c r="X266" s="526"/>
      <c r="Y266" s="526">
        <v>22000</v>
      </c>
      <c r="Z266" s="526"/>
      <c r="AA266" s="526"/>
      <c r="AB266" s="349" t="s">
        <v>1622</v>
      </c>
      <c r="AC266" s="380">
        <f t="shared" si="168"/>
        <v>0</v>
      </c>
      <c r="AJ266" s="8" t="s">
        <v>685</v>
      </c>
    </row>
    <row r="267" spans="1:43" s="417" customFormat="1" ht="50.25" customHeight="1">
      <c r="A267" s="327" t="s">
        <v>1306</v>
      </c>
      <c r="B267" s="413" t="s">
        <v>1307</v>
      </c>
      <c r="C267" s="27" t="s">
        <v>694</v>
      </c>
      <c r="D267" s="494"/>
      <c r="E267" s="494"/>
      <c r="F267" s="494"/>
      <c r="G267" s="494"/>
      <c r="H267" s="494"/>
      <c r="I267" s="327"/>
      <c r="J267" s="331"/>
      <c r="K267" s="331"/>
      <c r="L267" s="331"/>
      <c r="M267" s="331"/>
      <c r="N267" s="331"/>
      <c r="O267" s="331"/>
      <c r="P267" s="331"/>
      <c r="Q267" s="331"/>
      <c r="R267" s="331"/>
      <c r="S267" s="331"/>
      <c r="T267" s="331"/>
      <c r="U267" s="331"/>
      <c r="V267" s="331"/>
      <c r="W267" s="331"/>
      <c r="X267" s="331"/>
      <c r="Y267" s="331"/>
      <c r="Z267" s="331"/>
      <c r="AA267" s="331"/>
      <c r="AB267" s="332"/>
      <c r="AC267" s="380">
        <f t="shared" si="168"/>
        <v>0</v>
      </c>
    </row>
    <row r="268" spans="1:43" s="501" customFormat="1" ht="39.75" customHeight="1">
      <c r="A268" s="389">
        <v>9</v>
      </c>
      <c r="B268" s="538" t="s">
        <v>201</v>
      </c>
      <c r="C268" s="441"/>
      <c r="D268" s="475"/>
      <c r="E268" s="475"/>
      <c r="F268" s="475"/>
      <c r="G268" s="475"/>
      <c r="H268" s="475"/>
      <c r="I268" s="389"/>
      <c r="J268" s="391">
        <f>+J269</f>
        <v>7164</v>
      </c>
      <c r="K268" s="391">
        <f t="shared" ref="K268:AA268" si="195">+K269</f>
        <v>0</v>
      </c>
      <c r="L268" s="391">
        <f t="shared" si="195"/>
        <v>0</v>
      </c>
      <c r="M268" s="391">
        <f t="shared" si="195"/>
        <v>7164</v>
      </c>
      <c r="N268" s="391">
        <f t="shared" si="195"/>
        <v>0</v>
      </c>
      <c r="O268" s="391">
        <f t="shared" si="195"/>
        <v>0</v>
      </c>
      <c r="P268" s="391">
        <f t="shared" si="195"/>
        <v>0</v>
      </c>
      <c r="Q268" s="391">
        <f t="shared" si="195"/>
        <v>0</v>
      </c>
      <c r="R268" s="391">
        <f t="shared" si="195"/>
        <v>0</v>
      </c>
      <c r="S268" s="391">
        <f t="shared" si="195"/>
        <v>0</v>
      </c>
      <c r="T268" s="391">
        <f t="shared" si="195"/>
        <v>0</v>
      </c>
      <c r="U268" s="391">
        <f t="shared" si="195"/>
        <v>0</v>
      </c>
      <c r="V268" s="391">
        <f t="shared" si="195"/>
        <v>106</v>
      </c>
      <c r="W268" s="391">
        <f t="shared" si="195"/>
        <v>106</v>
      </c>
      <c r="X268" s="391">
        <f t="shared" si="195"/>
        <v>0</v>
      </c>
      <c r="Y268" s="391">
        <f t="shared" si="195"/>
        <v>106</v>
      </c>
      <c r="Z268" s="391">
        <f t="shared" si="195"/>
        <v>0</v>
      </c>
      <c r="AA268" s="391">
        <f t="shared" si="195"/>
        <v>0</v>
      </c>
      <c r="AB268" s="392"/>
      <c r="AC268" s="380">
        <f t="shared" si="168"/>
        <v>0</v>
      </c>
      <c r="AP268" s="46"/>
      <c r="AQ268" s="566"/>
    </row>
    <row r="269" spans="1:43" s="563" customFormat="1" ht="28.5" customHeight="1">
      <c r="A269" s="442" t="s">
        <v>1332</v>
      </c>
      <c r="B269" s="443" t="s">
        <v>38</v>
      </c>
      <c r="C269" s="441"/>
      <c r="D269" s="560"/>
      <c r="E269" s="560"/>
      <c r="F269" s="560"/>
      <c r="G269" s="560"/>
      <c r="H269" s="560"/>
      <c r="I269" s="442"/>
      <c r="J269" s="395">
        <f>+J270</f>
        <v>7164</v>
      </c>
      <c r="K269" s="395">
        <f t="shared" ref="K269:AA270" si="196">+K270</f>
        <v>0</v>
      </c>
      <c r="L269" s="395">
        <f t="shared" si="196"/>
        <v>0</v>
      </c>
      <c r="M269" s="395">
        <f t="shared" si="196"/>
        <v>7164</v>
      </c>
      <c r="N269" s="395">
        <f t="shared" si="196"/>
        <v>0</v>
      </c>
      <c r="O269" s="395">
        <f t="shared" si="196"/>
        <v>0</v>
      </c>
      <c r="P269" s="395">
        <f t="shared" si="196"/>
        <v>0</v>
      </c>
      <c r="Q269" s="395">
        <f t="shared" si="196"/>
        <v>0</v>
      </c>
      <c r="R269" s="395">
        <f t="shared" si="196"/>
        <v>0</v>
      </c>
      <c r="S269" s="395">
        <f t="shared" si="196"/>
        <v>0</v>
      </c>
      <c r="T269" s="395">
        <f t="shared" si="196"/>
        <v>0</v>
      </c>
      <c r="U269" s="395">
        <f t="shared" si="196"/>
        <v>0</v>
      </c>
      <c r="V269" s="395">
        <f t="shared" si="196"/>
        <v>106</v>
      </c>
      <c r="W269" s="395">
        <f t="shared" si="196"/>
        <v>106</v>
      </c>
      <c r="X269" s="395">
        <f t="shared" si="196"/>
        <v>0</v>
      </c>
      <c r="Y269" s="395">
        <f t="shared" si="196"/>
        <v>106</v>
      </c>
      <c r="Z269" s="395">
        <f t="shared" si="196"/>
        <v>0</v>
      </c>
      <c r="AA269" s="395">
        <f t="shared" si="196"/>
        <v>0</v>
      </c>
      <c r="AB269" s="396"/>
      <c r="AC269" s="380">
        <f t="shared" si="168"/>
        <v>0</v>
      </c>
      <c r="AP269" s="567"/>
      <c r="AQ269" s="566"/>
    </row>
    <row r="270" spans="1:43" s="10" customFormat="1" ht="39.75" customHeight="1">
      <c r="A270" s="332" t="s">
        <v>39</v>
      </c>
      <c r="B270" s="326" t="s">
        <v>1254</v>
      </c>
      <c r="C270" s="27"/>
      <c r="D270" s="554"/>
      <c r="E270" s="332"/>
      <c r="F270" s="471"/>
      <c r="G270" s="471"/>
      <c r="H270" s="332"/>
      <c r="I270" s="471"/>
      <c r="J270" s="331">
        <f>+J271</f>
        <v>7164</v>
      </c>
      <c r="K270" s="331">
        <f t="shared" si="196"/>
        <v>0</v>
      </c>
      <c r="L270" s="331">
        <f t="shared" si="196"/>
        <v>0</v>
      </c>
      <c r="M270" s="331">
        <f t="shared" si="196"/>
        <v>7164</v>
      </c>
      <c r="N270" s="331">
        <f t="shared" si="196"/>
        <v>0</v>
      </c>
      <c r="O270" s="331">
        <f t="shared" si="196"/>
        <v>0</v>
      </c>
      <c r="P270" s="331">
        <f t="shared" si="196"/>
        <v>0</v>
      </c>
      <c r="Q270" s="331">
        <f t="shared" si="196"/>
        <v>0</v>
      </c>
      <c r="R270" s="331">
        <f t="shared" si="196"/>
        <v>0</v>
      </c>
      <c r="S270" s="331">
        <f t="shared" si="196"/>
        <v>0</v>
      </c>
      <c r="T270" s="331">
        <f t="shared" si="196"/>
        <v>0</v>
      </c>
      <c r="U270" s="331">
        <f t="shared" si="196"/>
        <v>0</v>
      </c>
      <c r="V270" s="331">
        <f t="shared" si="196"/>
        <v>106</v>
      </c>
      <c r="W270" s="331">
        <f t="shared" si="196"/>
        <v>106</v>
      </c>
      <c r="X270" s="331">
        <f t="shared" si="196"/>
        <v>0</v>
      </c>
      <c r="Y270" s="331">
        <f t="shared" si="196"/>
        <v>106</v>
      </c>
      <c r="Z270" s="331">
        <f t="shared" si="196"/>
        <v>0</v>
      </c>
      <c r="AA270" s="331">
        <f t="shared" si="196"/>
        <v>0</v>
      </c>
      <c r="AB270" s="21"/>
      <c r="AC270" s="380">
        <f t="shared" si="168"/>
        <v>0</v>
      </c>
      <c r="AP270" s="339"/>
      <c r="AQ270" s="119"/>
    </row>
    <row r="271" spans="1:43" s="7" customFormat="1" ht="51.75" customHeight="1">
      <c r="A271" s="32" t="s">
        <v>144</v>
      </c>
      <c r="B271" s="315" t="s">
        <v>1680</v>
      </c>
      <c r="C271" s="315" t="s">
        <v>201</v>
      </c>
      <c r="D271" s="33">
        <v>7953878</v>
      </c>
      <c r="E271" s="33"/>
      <c r="F271" s="13" t="s">
        <v>202</v>
      </c>
      <c r="G271" s="13"/>
      <c r="H271" s="13"/>
      <c r="I271" s="13" t="s">
        <v>1681</v>
      </c>
      <c r="J271" s="399">
        <v>7164</v>
      </c>
      <c r="K271" s="399"/>
      <c r="L271" s="399"/>
      <c r="M271" s="399">
        <v>7164</v>
      </c>
      <c r="N271" s="399"/>
      <c r="O271" s="399"/>
      <c r="P271" s="399"/>
      <c r="Q271" s="399"/>
      <c r="R271" s="399"/>
      <c r="S271" s="399"/>
      <c r="T271" s="399"/>
      <c r="U271" s="399"/>
      <c r="V271" s="399">
        <v>106</v>
      </c>
      <c r="W271" s="399">
        <v>106</v>
      </c>
      <c r="X271" s="399"/>
      <c r="Y271" s="399">
        <v>106</v>
      </c>
      <c r="Z271" s="399"/>
      <c r="AA271" s="399"/>
      <c r="AB271" s="21" t="s">
        <v>1679</v>
      </c>
      <c r="AC271" s="380">
        <f t="shared" si="168"/>
        <v>0</v>
      </c>
      <c r="AJ271" s="555" t="s">
        <v>1308</v>
      </c>
      <c r="AP271" s="338"/>
      <c r="AQ271" s="119"/>
    </row>
    <row r="272" spans="1:43" s="574" customFormat="1" ht="51.75" customHeight="1">
      <c r="A272" s="568">
        <v>10</v>
      </c>
      <c r="B272" s="569" t="s">
        <v>1687</v>
      </c>
      <c r="C272" s="569"/>
      <c r="D272" s="570"/>
      <c r="E272" s="570"/>
      <c r="F272" s="571"/>
      <c r="G272" s="571"/>
      <c r="H272" s="571"/>
      <c r="I272" s="571"/>
      <c r="J272" s="572">
        <f>J273</f>
        <v>4285</v>
      </c>
      <c r="K272" s="572">
        <f t="shared" ref="K272:AA272" si="197">K273</f>
        <v>0</v>
      </c>
      <c r="L272" s="572">
        <f t="shared" si="197"/>
        <v>0</v>
      </c>
      <c r="M272" s="572">
        <f t="shared" si="197"/>
        <v>4285</v>
      </c>
      <c r="N272" s="572">
        <f t="shared" si="197"/>
        <v>2000</v>
      </c>
      <c r="O272" s="572">
        <f t="shared" si="197"/>
        <v>0</v>
      </c>
      <c r="P272" s="572">
        <f t="shared" si="197"/>
        <v>0</v>
      </c>
      <c r="Q272" s="572">
        <f t="shared" si="197"/>
        <v>2000</v>
      </c>
      <c r="R272" s="572">
        <f t="shared" si="197"/>
        <v>2000</v>
      </c>
      <c r="S272" s="572">
        <f t="shared" si="197"/>
        <v>0</v>
      </c>
      <c r="T272" s="572">
        <f t="shared" si="197"/>
        <v>0</v>
      </c>
      <c r="U272" s="572">
        <f t="shared" si="197"/>
        <v>2000</v>
      </c>
      <c r="V272" s="572">
        <f t="shared" si="197"/>
        <v>2285</v>
      </c>
      <c r="W272" s="572">
        <f t="shared" si="197"/>
        <v>2285</v>
      </c>
      <c r="X272" s="572">
        <f t="shared" si="197"/>
        <v>0</v>
      </c>
      <c r="Y272" s="572">
        <f t="shared" si="197"/>
        <v>2285</v>
      </c>
      <c r="Z272" s="572">
        <f t="shared" si="197"/>
        <v>0</v>
      </c>
      <c r="AA272" s="572">
        <f t="shared" si="197"/>
        <v>0</v>
      </c>
      <c r="AB272" s="573"/>
      <c r="AC272" s="380">
        <f t="shared" si="168"/>
        <v>0</v>
      </c>
      <c r="AP272" s="575"/>
      <c r="AQ272" s="576"/>
    </row>
    <row r="273" spans="1:43" s="584" customFormat="1" ht="51.75" customHeight="1">
      <c r="A273" s="577" t="s">
        <v>1320</v>
      </c>
      <c r="B273" s="578" t="s">
        <v>38</v>
      </c>
      <c r="C273" s="579"/>
      <c r="D273" s="580"/>
      <c r="E273" s="580"/>
      <c r="F273" s="581"/>
      <c r="G273" s="581"/>
      <c r="H273" s="581"/>
      <c r="I273" s="581"/>
      <c r="J273" s="582">
        <f>J274+J275</f>
        <v>4285</v>
      </c>
      <c r="K273" s="582">
        <f t="shared" ref="K273:AA273" si="198">K274+K275</f>
        <v>0</v>
      </c>
      <c r="L273" s="582">
        <f t="shared" si="198"/>
        <v>0</v>
      </c>
      <c r="M273" s="582">
        <f t="shared" si="198"/>
        <v>4285</v>
      </c>
      <c r="N273" s="582">
        <f t="shared" si="198"/>
        <v>2000</v>
      </c>
      <c r="O273" s="582">
        <f t="shared" si="198"/>
        <v>0</v>
      </c>
      <c r="P273" s="582">
        <f t="shared" si="198"/>
        <v>0</v>
      </c>
      <c r="Q273" s="582">
        <f t="shared" si="198"/>
        <v>2000</v>
      </c>
      <c r="R273" s="582">
        <f t="shared" si="198"/>
        <v>2000</v>
      </c>
      <c r="S273" s="582">
        <f t="shared" si="198"/>
        <v>0</v>
      </c>
      <c r="T273" s="582">
        <f t="shared" si="198"/>
        <v>0</v>
      </c>
      <c r="U273" s="582">
        <f t="shared" si="198"/>
        <v>2000</v>
      </c>
      <c r="V273" s="582">
        <f t="shared" si="198"/>
        <v>2285</v>
      </c>
      <c r="W273" s="582">
        <f t="shared" si="198"/>
        <v>2285</v>
      </c>
      <c r="X273" s="582">
        <f t="shared" si="198"/>
        <v>0</v>
      </c>
      <c r="Y273" s="582">
        <f t="shared" si="198"/>
        <v>2285</v>
      </c>
      <c r="Z273" s="582">
        <f t="shared" si="198"/>
        <v>0</v>
      </c>
      <c r="AA273" s="582">
        <f t="shared" si="198"/>
        <v>0</v>
      </c>
      <c r="AB273" s="583"/>
      <c r="AC273" s="380">
        <f t="shared" si="168"/>
        <v>0</v>
      </c>
      <c r="AP273" s="585"/>
      <c r="AQ273" s="586"/>
    </row>
    <row r="274" spans="1:43" s="521" customFormat="1" ht="51.75" customHeight="1">
      <c r="A274" s="332" t="s">
        <v>39</v>
      </c>
      <c r="B274" s="326" t="s">
        <v>1254</v>
      </c>
      <c r="C274" s="517"/>
      <c r="D274" s="518"/>
      <c r="E274" s="518"/>
      <c r="F274" s="587"/>
      <c r="G274" s="587"/>
      <c r="H274" s="587"/>
      <c r="I274" s="587"/>
      <c r="J274" s="519"/>
      <c r="K274" s="519"/>
      <c r="L274" s="519"/>
      <c r="M274" s="519"/>
      <c r="N274" s="519"/>
      <c r="O274" s="519"/>
      <c r="P274" s="519"/>
      <c r="Q274" s="519"/>
      <c r="R274" s="519"/>
      <c r="S274" s="519"/>
      <c r="T274" s="519"/>
      <c r="U274" s="519"/>
      <c r="V274" s="519"/>
      <c r="W274" s="519"/>
      <c r="X274" s="519"/>
      <c r="Y274" s="519"/>
      <c r="Z274" s="519"/>
      <c r="AA274" s="519"/>
      <c r="AB274" s="588"/>
      <c r="AC274" s="380">
        <f t="shared" si="168"/>
        <v>0</v>
      </c>
      <c r="AP274" s="589"/>
      <c r="AQ274" s="590"/>
    </row>
    <row r="275" spans="1:43" s="7" customFormat="1" ht="51.75" customHeight="1">
      <c r="A275" s="397" t="s">
        <v>467</v>
      </c>
      <c r="B275" s="326" t="s">
        <v>56</v>
      </c>
      <c r="C275" s="315"/>
      <c r="D275" s="33"/>
      <c r="E275" s="33"/>
      <c r="F275" s="13"/>
      <c r="G275" s="13"/>
      <c r="H275" s="13"/>
      <c r="I275" s="13"/>
      <c r="J275" s="399">
        <f>J276</f>
        <v>4285</v>
      </c>
      <c r="K275" s="399">
        <f t="shared" ref="K275:AA275" si="199">K276</f>
        <v>0</v>
      </c>
      <c r="L275" s="399">
        <f t="shared" si="199"/>
        <v>0</v>
      </c>
      <c r="M275" s="399">
        <f t="shared" si="199"/>
        <v>4285</v>
      </c>
      <c r="N275" s="399">
        <f t="shared" si="199"/>
        <v>2000</v>
      </c>
      <c r="O275" s="399">
        <f t="shared" si="199"/>
        <v>0</v>
      </c>
      <c r="P275" s="399">
        <f t="shared" si="199"/>
        <v>0</v>
      </c>
      <c r="Q275" s="399">
        <f t="shared" si="199"/>
        <v>2000</v>
      </c>
      <c r="R275" s="399">
        <f t="shared" si="199"/>
        <v>2000</v>
      </c>
      <c r="S275" s="399">
        <f t="shared" si="199"/>
        <v>0</v>
      </c>
      <c r="T275" s="399">
        <f t="shared" si="199"/>
        <v>0</v>
      </c>
      <c r="U275" s="399">
        <f t="shared" si="199"/>
        <v>2000</v>
      </c>
      <c r="V275" s="399">
        <f t="shared" si="199"/>
        <v>2285</v>
      </c>
      <c r="W275" s="399">
        <f t="shared" si="199"/>
        <v>2285</v>
      </c>
      <c r="X275" s="399">
        <f t="shared" si="199"/>
        <v>0</v>
      </c>
      <c r="Y275" s="399">
        <f t="shared" si="199"/>
        <v>2285</v>
      </c>
      <c r="Z275" s="399">
        <f t="shared" si="199"/>
        <v>0</v>
      </c>
      <c r="AA275" s="399">
        <f t="shared" si="199"/>
        <v>0</v>
      </c>
      <c r="AB275" s="21"/>
      <c r="AC275" s="380">
        <f t="shared" si="168"/>
        <v>0</v>
      </c>
      <c r="AP275" s="338"/>
      <c r="AQ275" s="119"/>
    </row>
    <row r="276" spans="1:43" s="597" customFormat="1" ht="51.75" customHeight="1">
      <c r="A276" s="591" t="s">
        <v>144</v>
      </c>
      <c r="B276" s="15" t="s">
        <v>1033</v>
      </c>
      <c r="C276" s="592"/>
      <c r="D276" s="433">
        <v>8148437</v>
      </c>
      <c r="E276" s="593"/>
      <c r="F276" s="350"/>
      <c r="G276" s="594" t="s">
        <v>186</v>
      </c>
      <c r="H276" s="350" t="s">
        <v>136</v>
      </c>
      <c r="I276" s="350" t="s">
        <v>1034</v>
      </c>
      <c r="J276" s="595">
        <v>4285</v>
      </c>
      <c r="K276" s="595"/>
      <c r="L276" s="595"/>
      <c r="M276" s="595">
        <v>4285</v>
      </c>
      <c r="N276" s="595">
        <v>2000</v>
      </c>
      <c r="O276" s="595"/>
      <c r="P276" s="595"/>
      <c r="Q276" s="595">
        <v>2000</v>
      </c>
      <c r="R276" s="595">
        <f>+SUM(S276:U276)</f>
        <v>2000</v>
      </c>
      <c r="S276" s="595"/>
      <c r="T276" s="595"/>
      <c r="U276" s="595">
        <v>2000</v>
      </c>
      <c r="V276" s="595">
        <v>2285</v>
      </c>
      <c r="W276" s="595">
        <v>2285</v>
      </c>
      <c r="X276" s="595"/>
      <c r="Y276" s="595">
        <v>2285</v>
      </c>
      <c r="Z276" s="595"/>
      <c r="AA276" s="595"/>
      <c r="AB276" s="596"/>
      <c r="AC276" s="380">
        <f t="shared" si="168"/>
        <v>0</v>
      </c>
      <c r="AJ276" s="8" t="s">
        <v>685</v>
      </c>
      <c r="AP276" s="598"/>
      <c r="AQ276" s="599"/>
    </row>
    <row r="277" spans="1:43" s="574" customFormat="1" ht="51.75" customHeight="1">
      <c r="A277" s="600" t="s">
        <v>1335</v>
      </c>
      <c r="B277" s="317" t="s">
        <v>857</v>
      </c>
      <c r="C277" s="569"/>
      <c r="D277" s="427"/>
      <c r="E277" s="570"/>
      <c r="F277" s="571"/>
      <c r="G277" s="601"/>
      <c r="H277" s="571"/>
      <c r="I277" s="571"/>
      <c r="J277" s="572">
        <f>+J278</f>
        <v>2000</v>
      </c>
      <c r="K277" s="572">
        <f t="shared" ref="K277:AA277" si="200">+K278</f>
        <v>0</v>
      </c>
      <c r="L277" s="572">
        <f t="shared" si="200"/>
        <v>0</v>
      </c>
      <c r="M277" s="572">
        <f t="shared" si="200"/>
        <v>1500</v>
      </c>
      <c r="N277" s="572">
        <f t="shared" si="200"/>
        <v>2000</v>
      </c>
      <c r="O277" s="572">
        <f t="shared" si="200"/>
        <v>0</v>
      </c>
      <c r="P277" s="572">
        <f t="shared" si="200"/>
        <v>0</v>
      </c>
      <c r="Q277" s="572">
        <f t="shared" si="200"/>
        <v>2000</v>
      </c>
      <c r="R277" s="572">
        <f t="shared" si="200"/>
        <v>1500</v>
      </c>
      <c r="S277" s="572">
        <f t="shared" si="200"/>
        <v>0</v>
      </c>
      <c r="T277" s="572">
        <f t="shared" si="200"/>
        <v>0</v>
      </c>
      <c r="U277" s="572">
        <f t="shared" si="200"/>
        <v>1500</v>
      </c>
      <c r="V277" s="572">
        <f t="shared" si="200"/>
        <v>500</v>
      </c>
      <c r="W277" s="572">
        <f t="shared" si="200"/>
        <v>500</v>
      </c>
      <c r="X277" s="572">
        <f t="shared" si="200"/>
        <v>500</v>
      </c>
      <c r="Y277" s="572">
        <f t="shared" si="200"/>
        <v>0</v>
      </c>
      <c r="Z277" s="572">
        <f t="shared" si="200"/>
        <v>0</v>
      </c>
      <c r="AA277" s="572">
        <f t="shared" si="200"/>
        <v>0</v>
      </c>
      <c r="AB277" s="573"/>
      <c r="AC277" s="602"/>
      <c r="AJ277" s="231"/>
      <c r="AP277" s="575"/>
      <c r="AQ277" s="576"/>
    </row>
    <row r="278" spans="1:43" s="10" customFormat="1" ht="36" customHeight="1">
      <c r="A278" s="327" t="s">
        <v>39</v>
      </c>
      <c r="B278" s="326" t="s">
        <v>1254</v>
      </c>
      <c r="C278" s="328"/>
      <c r="D278" s="329"/>
      <c r="E278" s="329"/>
      <c r="F278" s="329"/>
      <c r="G278" s="329"/>
      <c r="H278" s="329"/>
      <c r="I278" s="330"/>
      <c r="J278" s="331">
        <f>+J279</f>
        <v>2000</v>
      </c>
      <c r="K278" s="331">
        <f t="shared" ref="K278:AA278" si="201">+K279</f>
        <v>0</v>
      </c>
      <c r="L278" s="331">
        <f t="shared" si="201"/>
        <v>0</v>
      </c>
      <c r="M278" s="331">
        <f t="shared" si="201"/>
        <v>1500</v>
      </c>
      <c r="N278" s="331">
        <f t="shared" si="201"/>
        <v>2000</v>
      </c>
      <c r="O278" s="331">
        <f t="shared" si="201"/>
        <v>0</v>
      </c>
      <c r="P278" s="331">
        <f t="shared" si="201"/>
        <v>0</v>
      </c>
      <c r="Q278" s="331">
        <f t="shared" si="201"/>
        <v>2000</v>
      </c>
      <c r="R278" s="331">
        <f t="shared" si="201"/>
        <v>1500</v>
      </c>
      <c r="S278" s="331">
        <f t="shared" si="201"/>
        <v>0</v>
      </c>
      <c r="T278" s="331">
        <f t="shared" si="201"/>
        <v>0</v>
      </c>
      <c r="U278" s="331">
        <f t="shared" si="201"/>
        <v>1500</v>
      </c>
      <c r="V278" s="331">
        <f t="shared" si="201"/>
        <v>500</v>
      </c>
      <c r="W278" s="331">
        <f t="shared" si="201"/>
        <v>500</v>
      </c>
      <c r="X278" s="331">
        <f t="shared" si="201"/>
        <v>500</v>
      </c>
      <c r="Y278" s="331">
        <f t="shared" si="201"/>
        <v>0</v>
      </c>
      <c r="Z278" s="331">
        <f t="shared" si="201"/>
        <v>0</v>
      </c>
      <c r="AA278" s="331">
        <f t="shared" si="201"/>
        <v>0</v>
      </c>
      <c r="AB278" s="332"/>
      <c r="AP278" s="339"/>
      <c r="AQ278" s="345"/>
    </row>
    <row r="279" spans="1:43" s="8" customFormat="1" ht="62.25" customHeight="1">
      <c r="A279" s="32" t="s">
        <v>144</v>
      </c>
      <c r="B279" s="346" t="s">
        <v>1848</v>
      </c>
      <c r="C279" s="13"/>
      <c r="D279" s="123"/>
      <c r="E279" s="123"/>
      <c r="F279" s="313" t="s">
        <v>859</v>
      </c>
      <c r="G279" s="123"/>
      <c r="H279" s="123"/>
      <c r="I279" s="374" t="s">
        <v>1849</v>
      </c>
      <c r="J279" s="399">
        <v>2000</v>
      </c>
      <c r="K279" s="399"/>
      <c r="L279" s="399"/>
      <c r="M279" s="399">
        <v>1500</v>
      </c>
      <c r="N279" s="399">
        <v>2000</v>
      </c>
      <c r="O279" s="399"/>
      <c r="P279" s="399"/>
      <c r="Q279" s="399">
        <f>N279</f>
        <v>2000</v>
      </c>
      <c r="R279" s="399">
        <f>U279</f>
        <v>1500</v>
      </c>
      <c r="S279" s="399"/>
      <c r="T279" s="399"/>
      <c r="U279" s="399">
        <v>1500</v>
      </c>
      <c r="V279" s="399">
        <f>Q279-R279</f>
        <v>500</v>
      </c>
      <c r="W279" s="399">
        <f>V279</f>
        <v>500</v>
      </c>
      <c r="X279" s="399">
        <f>V279</f>
        <v>500</v>
      </c>
      <c r="Y279" s="399"/>
      <c r="Z279" s="399"/>
      <c r="AA279" s="399"/>
      <c r="AB279" s="94"/>
      <c r="AJ279" s="8" t="s">
        <v>1857</v>
      </c>
      <c r="AP279" s="338"/>
      <c r="AQ279" s="119"/>
    </row>
    <row r="280" spans="1:43" s="501" customFormat="1" ht="26.25" customHeight="1">
      <c r="A280" s="389" t="s">
        <v>301</v>
      </c>
      <c r="B280" s="475" t="s">
        <v>1176</v>
      </c>
      <c r="C280" s="389"/>
      <c r="D280" s="389"/>
      <c r="E280" s="389"/>
      <c r="F280" s="389"/>
      <c r="G280" s="389"/>
      <c r="H280" s="389"/>
      <c r="I280" s="475"/>
      <c r="J280" s="603">
        <f t="shared" ref="J280:AA280" si="202">J281</f>
        <v>50000</v>
      </c>
      <c r="K280" s="603">
        <f t="shared" si="202"/>
        <v>0</v>
      </c>
      <c r="L280" s="603">
        <f t="shared" si="202"/>
        <v>0</v>
      </c>
      <c r="M280" s="603">
        <f t="shared" si="202"/>
        <v>50000</v>
      </c>
      <c r="N280" s="603">
        <f t="shared" si="202"/>
        <v>23381</v>
      </c>
      <c r="O280" s="603">
        <f t="shared" si="202"/>
        <v>0</v>
      </c>
      <c r="P280" s="603">
        <f t="shared" si="202"/>
        <v>0</v>
      </c>
      <c r="Q280" s="603">
        <f t="shared" si="202"/>
        <v>23381</v>
      </c>
      <c r="R280" s="603">
        <f t="shared" si="202"/>
        <v>23381</v>
      </c>
      <c r="S280" s="603">
        <f t="shared" si="202"/>
        <v>0</v>
      </c>
      <c r="T280" s="603">
        <f t="shared" si="202"/>
        <v>0</v>
      </c>
      <c r="U280" s="603">
        <f t="shared" si="202"/>
        <v>23381</v>
      </c>
      <c r="V280" s="603">
        <f t="shared" si="202"/>
        <v>15000</v>
      </c>
      <c r="W280" s="603">
        <f>W281</f>
        <v>15000</v>
      </c>
      <c r="X280" s="603">
        <f t="shared" si="202"/>
        <v>0</v>
      </c>
      <c r="Y280" s="603">
        <f t="shared" si="202"/>
        <v>15000</v>
      </c>
      <c r="Z280" s="603">
        <f t="shared" si="202"/>
        <v>0</v>
      </c>
      <c r="AA280" s="603">
        <f t="shared" si="202"/>
        <v>0</v>
      </c>
      <c r="AB280" s="604"/>
      <c r="AC280" s="380">
        <f t="shared" ref="AC280:AC343" si="203">+W280-X280-Y280-Z280</f>
        <v>0</v>
      </c>
    </row>
    <row r="281" spans="1:43" s="501" customFormat="1" ht="33" customHeight="1">
      <c r="A281" s="389">
        <v>1</v>
      </c>
      <c r="B281" s="441" t="s">
        <v>1177</v>
      </c>
      <c r="C281" s="441" t="s">
        <v>1177</v>
      </c>
      <c r="D281" s="389"/>
      <c r="E281" s="389"/>
      <c r="F281" s="389"/>
      <c r="G281" s="389"/>
      <c r="H281" s="389"/>
      <c r="I281" s="475"/>
      <c r="J281" s="603">
        <f t="shared" ref="J281:AA281" si="204">+J282</f>
        <v>50000</v>
      </c>
      <c r="K281" s="603">
        <f t="shared" si="204"/>
        <v>0</v>
      </c>
      <c r="L281" s="603">
        <f t="shared" si="204"/>
        <v>0</v>
      </c>
      <c r="M281" s="603">
        <f t="shared" si="204"/>
        <v>50000</v>
      </c>
      <c r="N281" s="603">
        <f t="shared" si="204"/>
        <v>23381</v>
      </c>
      <c r="O281" s="603">
        <f t="shared" si="204"/>
        <v>0</v>
      </c>
      <c r="P281" s="603">
        <f t="shared" si="204"/>
        <v>0</v>
      </c>
      <c r="Q281" s="603">
        <f t="shared" si="204"/>
        <v>23381</v>
      </c>
      <c r="R281" s="603">
        <f t="shared" si="204"/>
        <v>23381</v>
      </c>
      <c r="S281" s="603">
        <f t="shared" si="204"/>
        <v>0</v>
      </c>
      <c r="T281" s="603">
        <f t="shared" si="204"/>
        <v>0</v>
      </c>
      <c r="U281" s="603">
        <f t="shared" si="204"/>
        <v>23381</v>
      </c>
      <c r="V281" s="603">
        <f t="shared" si="204"/>
        <v>15000</v>
      </c>
      <c r="W281" s="603">
        <f t="shared" si="204"/>
        <v>15000</v>
      </c>
      <c r="X281" s="603">
        <f t="shared" si="204"/>
        <v>0</v>
      </c>
      <c r="Y281" s="603">
        <f t="shared" si="204"/>
        <v>15000</v>
      </c>
      <c r="Z281" s="603">
        <f t="shared" si="204"/>
        <v>0</v>
      </c>
      <c r="AA281" s="603">
        <f t="shared" si="204"/>
        <v>0</v>
      </c>
      <c r="AB281" s="604"/>
      <c r="AC281" s="380">
        <f t="shared" si="203"/>
        <v>0</v>
      </c>
    </row>
    <row r="282" spans="1:43" s="417" customFormat="1" ht="47.25" customHeight="1">
      <c r="A282" s="486" t="s">
        <v>1305</v>
      </c>
      <c r="B282" s="443" t="s">
        <v>38</v>
      </c>
      <c r="C282" s="27" t="s">
        <v>1177</v>
      </c>
      <c r="D282" s="327"/>
      <c r="E282" s="327"/>
      <c r="F282" s="328"/>
      <c r="G282" s="328"/>
      <c r="H282" s="328"/>
      <c r="I282" s="328"/>
      <c r="J282" s="556">
        <f t="shared" ref="J282:AA282" si="205">+J283+J284+J286</f>
        <v>50000</v>
      </c>
      <c r="K282" s="556">
        <f t="shared" si="205"/>
        <v>0</v>
      </c>
      <c r="L282" s="556">
        <f t="shared" si="205"/>
        <v>0</v>
      </c>
      <c r="M282" s="556">
        <f t="shared" si="205"/>
        <v>50000</v>
      </c>
      <c r="N282" s="556">
        <f t="shared" si="205"/>
        <v>23381</v>
      </c>
      <c r="O282" s="556">
        <f t="shared" si="205"/>
        <v>0</v>
      </c>
      <c r="P282" s="556">
        <f t="shared" si="205"/>
        <v>0</v>
      </c>
      <c r="Q282" s="556">
        <f t="shared" si="205"/>
        <v>23381</v>
      </c>
      <c r="R282" s="556">
        <f t="shared" si="205"/>
        <v>23381</v>
      </c>
      <c r="S282" s="556">
        <f t="shared" si="205"/>
        <v>0</v>
      </c>
      <c r="T282" s="556">
        <f t="shared" si="205"/>
        <v>0</v>
      </c>
      <c r="U282" s="556">
        <f t="shared" si="205"/>
        <v>23381</v>
      </c>
      <c r="V282" s="556">
        <f t="shared" si="205"/>
        <v>15000</v>
      </c>
      <c r="W282" s="556">
        <f t="shared" si="205"/>
        <v>15000</v>
      </c>
      <c r="X282" s="556">
        <f t="shared" si="205"/>
        <v>0</v>
      </c>
      <c r="Y282" s="556">
        <f t="shared" si="205"/>
        <v>15000</v>
      </c>
      <c r="Z282" s="556">
        <f t="shared" si="205"/>
        <v>0</v>
      </c>
      <c r="AA282" s="556">
        <f t="shared" si="205"/>
        <v>0</v>
      </c>
      <c r="AB282" s="484"/>
      <c r="AC282" s="380">
        <f t="shared" si="203"/>
        <v>0</v>
      </c>
    </row>
    <row r="283" spans="1:43" s="10" customFormat="1" ht="39.75" customHeight="1">
      <c r="A283" s="332" t="s">
        <v>39</v>
      </c>
      <c r="B283" s="326" t="s">
        <v>1254</v>
      </c>
      <c r="C283" s="27" t="s">
        <v>1177</v>
      </c>
      <c r="D283" s="554"/>
      <c r="E283" s="332"/>
      <c r="F283" s="471"/>
      <c r="G283" s="471"/>
      <c r="H283" s="332"/>
      <c r="I283" s="471"/>
      <c r="J283" s="331"/>
      <c r="K283" s="331"/>
      <c r="L283" s="331"/>
      <c r="M283" s="331"/>
      <c r="N283" s="331"/>
      <c r="O283" s="331"/>
      <c r="P283" s="331"/>
      <c r="Q283" s="331"/>
      <c r="R283" s="331"/>
      <c r="S283" s="331"/>
      <c r="T283" s="331"/>
      <c r="U283" s="331"/>
      <c r="V283" s="331"/>
      <c r="W283" s="331"/>
      <c r="X283" s="331"/>
      <c r="Y283" s="331"/>
      <c r="Z283" s="331"/>
      <c r="AA283" s="331"/>
      <c r="AB283" s="332"/>
      <c r="AC283" s="380">
        <f t="shared" si="203"/>
        <v>0</v>
      </c>
    </row>
    <row r="284" spans="1:43" s="417" customFormat="1" ht="51.75" customHeight="1">
      <c r="A284" s="327" t="s">
        <v>467</v>
      </c>
      <c r="B284" s="492" t="s">
        <v>56</v>
      </c>
      <c r="C284" s="27" t="s">
        <v>1177</v>
      </c>
      <c r="D284" s="327"/>
      <c r="E284" s="327"/>
      <c r="F284" s="327"/>
      <c r="G284" s="327"/>
      <c r="H284" s="327"/>
      <c r="I284" s="494"/>
      <c r="J284" s="605">
        <f t="shared" ref="J284:AA284" si="206">SUM(J285)</f>
        <v>50000</v>
      </c>
      <c r="K284" s="605">
        <f t="shared" si="206"/>
        <v>0</v>
      </c>
      <c r="L284" s="605">
        <f t="shared" si="206"/>
        <v>0</v>
      </c>
      <c r="M284" s="605">
        <f t="shared" si="206"/>
        <v>50000</v>
      </c>
      <c r="N284" s="605">
        <f t="shared" si="206"/>
        <v>23381</v>
      </c>
      <c r="O284" s="605">
        <f t="shared" si="206"/>
        <v>0</v>
      </c>
      <c r="P284" s="605">
        <f t="shared" si="206"/>
        <v>0</v>
      </c>
      <c r="Q284" s="605">
        <f t="shared" si="206"/>
        <v>23381</v>
      </c>
      <c r="R284" s="605">
        <f t="shared" si="206"/>
        <v>23381</v>
      </c>
      <c r="S284" s="605">
        <f t="shared" si="206"/>
        <v>0</v>
      </c>
      <c r="T284" s="605">
        <f t="shared" si="206"/>
        <v>0</v>
      </c>
      <c r="U284" s="605">
        <f t="shared" si="206"/>
        <v>23381</v>
      </c>
      <c r="V284" s="605">
        <f t="shared" si="206"/>
        <v>15000</v>
      </c>
      <c r="W284" s="605">
        <f>SUM(W285)</f>
        <v>15000</v>
      </c>
      <c r="X284" s="605">
        <f t="shared" si="206"/>
        <v>0</v>
      </c>
      <c r="Y284" s="605">
        <f t="shared" si="206"/>
        <v>15000</v>
      </c>
      <c r="Z284" s="605">
        <f t="shared" si="206"/>
        <v>0</v>
      </c>
      <c r="AA284" s="605">
        <f t="shared" si="206"/>
        <v>0</v>
      </c>
      <c r="AB284" s="606"/>
      <c r="AC284" s="380">
        <f t="shared" si="203"/>
        <v>0</v>
      </c>
    </row>
    <row r="285" spans="1:43" s="608" customFormat="1" ht="51" customHeight="1">
      <c r="A285" s="26" t="s">
        <v>144</v>
      </c>
      <c r="B285" s="27" t="s">
        <v>1178</v>
      </c>
      <c r="C285" s="27" t="s">
        <v>1177</v>
      </c>
      <c r="D285" s="13">
        <v>8134307</v>
      </c>
      <c r="E285" s="13"/>
      <c r="F285" s="13" t="s">
        <v>955</v>
      </c>
      <c r="G285" s="13" t="s">
        <v>1179</v>
      </c>
      <c r="H285" s="13" t="s">
        <v>240</v>
      </c>
      <c r="I285" s="13" t="s">
        <v>1180</v>
      </c>
      <c r="J285" s="526">
        <v>50000</v>
      </c>
      <c r="K285" s="526"/>
      <c r="L285" s="526"/>
      <c r="M285" s="526">
        <v>50000</v>
      </c>
      <c r="N285" s="526">
        <v>23381</v>
      </c>
      <c r="O285" s="526"/>
      <c r="P285" s="526"/>
      <c r="Q285" s="526">
        <v>23381</v>
      </c>
      <c r="R285" s="526">
        <v>23381</v>
      </c>
      <c r="S285" s="526"/>
      <c r="T285" s="526"/>
      <c r="U285" s="526">
        <v>23381</v>
      </c>
      <c r="V285" s="607">
        <v>15000</v>
      </c>
      <c r="W285" s="526">
        <f>SUM(X285:AA285)</f>
        <v>15000</v>
      </c>
      <c r="X285" s="526"/>
      <c r="Y285" s="526">
        <v>15000</v>
      </c>
      <c r="Z285" s="526"/>
      <c r="AA285" s="526"/>
      <c r="AB285" s="478" t="s">
        <v>1639</v>
      </c>
      <c r="AC285" s="380">
        <f t="shared" si="203"/>
        <v>0</v>
      </c>
      <c r="AJ285" s="8" t="s">
        <v>685</v>
      </c>
    </row>
    <row r="286" spans="1:43" s="417" customFormat="1" ht="28.5" customHeight="1">
      <c r="A286" s="327" t="s">
        <v>1306</v>
      </c>
      <c r="B286" s="413" t="s">
        <v>1307</v>
      </c>
      <c r="C286" s="27" t="s">
        <v>1177</v>
      </c>
      <c r="D286" s="494"/>
      <c r="E286" s="494"/>
      <c r="F286" s="494"/>
      <c r="G286" s="494"/>
      <c r="H286" s="494"/>
      <c r="I286" s="327"/>
      <c r="J286" s="331"/>
      <c r="K286" s="331"/>
      <c r="L286" s="331"/>
      <c r="M286" s="331"/>
      <c r="N286" s="331"/>
      <c r="O286" s="331"/>
      <c r="P286" s="331"/>
      <c r="Q286" s="331"/>
      <c r="R286" s="331"/>
      <c r="S286" s="331"/>
      <c r="T286" s="331"/>
      <c r="U286" s="331"/>
      <c r="V286" s="331"/>
      <c r="W286" s="331"/>
      <c r="X286" s="331"/>
      <c r="Y286" s="331"/>
      <c r="Z286" s="331"/>
      <c r="AA286" s="331"/>
      <c r="AB286" s="332"/>
      <c r="AC286" s="380">
        <f t="shared" si="203"/>
        <v>0</v>
      </c>
    </row>
    <row r="287" spans="1:43" s="8" customFormat="1" ht="28.5" customHeight="1">
      <c r="A287" s="389" t="s">
        <v>316</v>
      </c>
      <c r="B287" s="317" t="s">
        <v>273</v>
      </c>
      <c r="C287" s="320"/>
      <c r="D287" s="123"/>
      <c r="E287" s="123"/>
      <c r="F287" s="123"/>
      <c r="G287" s="123"/>
      <c r="H287" s="123"/>
      <c r="I287" s="390"/>
      <c r="J287" s="507">
        <f>+J288+J294+J300</f>
        <v>1525050</v>
      </c>
      <c r="K287" s="507">
        <f t="shared" ref="K287:AA287" si="207">+K288+K294+K300</f>
        <v>1001934</v>
      </c>
      <c r="L287" s="507">
        <f t="shared" si="207"/>
        <v>13390</v>
      </c>
      <c r="M287" s="507">
        <f t="shared" si="207"/>
        <v>509734</v>
      </c>
      <c r="N287" s="507">
        <f t="shared" si="207"/>
        <v>14026</v>
      </c>
      <c r="O287" s="507">
        <f t="shared" si="207"/>
        <v>0</v>
      </c>
      <c r="P287" s="507">
        <f t="shared" si="207"/>
        <v>0</v>
      </c>
      <c r="Q287" s="507">
        <f t="shared" si="207"/>
        <v>14026</v>
      </c>
      <c r="R287" s="507">
        <f t="shared" si="207"/>
        <v>14026</v>
      </c>
      <c r="S287" s="507">
        <f t="shared" si="207"/>
        <v>0</v>
      </c>
      <c r="T287" s="507">
        <f t="shared" si="207"/>
        <v>0</v>
      </c>
      <c r="U287" s="507">
        <f t="shared" si="207"/>
        <v>14026</v>
      </c>
      <c r="V287" s="507">
        <f t="shared" si="207"/>
        <v>1025597</v>
      </c>
      <c r="W287" s="507">
        <f>+W288+W294+W300</f>
        <v>23292</v>
      </c>
      <c r="X287" s="507">
        <f t="shared" si="207"/>
        <v>33</v>
      </c>
      <c r="Y287" s="507">
        <f t="shared" si="207"/>
        <v>500</v>
      </c>
      <c r="Z287" s="507">
        <f t="shared" si="207"/>
        <v>0</v>
      </c>
      <c r="AA287" s="507">
        <f t="shared" si="207"/>
        <v>22759</v>
      </c>
      <c r="AB287" s="502"/>
      <c r="AC287" s="380">
        <f t="shared" si="203"/>
        <v>22759</v>
      </c>
    </row>
    <row r="288" spans="1:43" s="231" customFormat="1" ht="36.75" customHeight="1">
      <c r="A288" s="426" t="s">
        <v>37</v>
      </c>
      <c r="B288" s="441" t="s">
        <v>235</v>
      </c>
      <c r="C288" s="441" t="s">
        <v>235</v>
      </c>
      <c r="D288" s="320"/>
      <c r="E288" s="462"/>
      <c r="F288" s="320"/>
      <c r="G288" s="318"/>
      <c r="H288" s="320"/>
      <c r="I288" s="320"/>
      <c r="J288" s="609">
        <f t="shared" ref="J288:AA288" si="208">J289</f>
        <v>6159</v>
      </c>
      <c r="K288" s="609">
        <f t="shared" si="208"/>
        <v>0</v>
      </c>
      <c r="L288" s="609">
        <f t="shared" si="208"/>
        <v>0</v>
      </c>
      <c r="M288" s="609">
        <f t="shared" si="208"/>
        <v>6159</v>
      </c>
      <c r="N288" s="609">
        <f t="shared" si="208"/>
        <v>5296</v>
      </c>
      <c r="O288" s="609">
        <f t="shared" si="208"/>
        <v>0</v>
      </c>
      <c r="P288" s="609">
        <f t="shared" si="208"/>
        <v>0</v>
      </c>
      <c r="Q288" s="609">
        <f t="shared" si="208"/>
        <v>5296</v>
      </c>
      <c r="R288" s="609">
        <f t="shared" si="208"/>
        <v>5296</v>
      </c>
      <c r="S288" s="609">
        <f t="shared" si="208"/>
        <v>0</v>
      </c>
      <c r="T288" s="609">
        <f t="shared" si="208"/>
        <v>0</v>
      </c>
      <c r="U288" s="609">
        <f t="shared" si="208"/>
        <v>5296</v>
      </c>
      <c r="V288" s="609">
        <f t="shared" si="208"/>
        <v>33</v>
      </c>
      <c r="W288" s="609">
        <f t="shared" si="208"/>
        <v>33</v>
      </c>
      <c r="X288" s="609">
        <f t="shared" si="208"/>
        <v>33</v>
      </c>
      <c r="Y288" s="609">
        <f t="shared" si="208"/>
        <v>0</v>
      </c>
      <c r="Z288" s="609">
        <f t="shared" si="208"/>
        <v>0</v>
      </c>
      <c r="AA288" s="609">
        <f t="shared" si="208"/>
        <v>0</v>
      </c>
      <c r="AB288" s="610"/>
      <c r="AC288" s="380">
        <f t="shared" si="203"/>
        <v>0</v>
      </c>
    </row>
    <row r="289" spans="1:36" s="422" customFormat="1" ht="35.25" customHeight="1">
      <c r="A289" s="495" t="s">
        <v>1374</v>
      </c>
      <c r="B289" s="394" t="s">
        <v>38</v>
      </c>
      <c r="C289" s="27" t="s">
        <v>235</v>
      </c>
      <c r="D289" s="421"/>
      <c r="E289" s="611"/>
      <c r="F289" s="421"/>
      <c r="G289" s="419"/>
      <c r="H289" s="421"/>
      <c r="I289" s="421"/>
      <c r="J289" s="505">
        <f t="shared" ref="J289:AA289" si="209">+J290+J291+J293</f>
        <v>6159</v>
      </c>
      <c r="K289" s="505">
        <f t="shared" si="209"/>
        <v>0</v>
      </c>
      <c r="L289" s="505">
        <f t="shared" si="209"/>
        <v>0</v>
      </c>
      <c r="M289" s="505">
        <f t="shared" si="209"/>
        <v>6159</v>
      </c>
      <c r="N289" s="505">
        <f t="shared" si="209"/>
        <v>5296</v>
      </c>
      <c r="O289" s="505">
        <f t="shared" si="209"/>
        <v>0</v>
      </c>
      <c r="P289" s="505">
        <f t="shared" si="209"/>
        <v>0</v>
      </c>
      <c r="Q289" s="505">
        <f t="shared" si="209"/>
        <v>5296</v>
      </c>
      <c r="R289" s="505">
        <f t="shared" si="209"/>
        <v>5296</v>
      </c>
      <c r="S289" s="505">
        <f t="shared" si="209"/>
        <v>0</v>
      </c>
      <c r="T289" s="505">
        <f t="shared" si="209"/>
        <v>0</v>
      </c>
      <c r="U289" s="505">
        <f t="shared" si="209"/>
        <v>5296</v>
      </c>
      <c r="V289" s="505">
        <f t="shared" si="209"/>
        <v>33</v>
      </c>
      <c r="W289" s="505">
        <f t="shared" si="209"/>
        <v>33</v>
      </c>
      <c r="X289" s="505">
        <f t="shared" si="209"/>
        <v>33</v>
      </c>
      <c r="Y289" s="505">
        <f t="shared" si="209"/>
        <v>0</v>
      </c>
      <c r="Z289" s="505">
        <f t="shared" si="209"/>
        <v>0</v>
      </c>
      <c r="AA289" s="505">
        <f t="shared" si="209"/>
        <v>0</v>
      </c>
      <c r="AB289" s="506"/>
      <c r="AC289" s="380">
        <f t="shared" si="203"/>
        <v>0</v>
      </c>
    </row>
    <row r="290" spans="1:36" s="10" customFormat="1" ht="39.75" customHeight="1">
      <c r="A290" s="332" t="s">
        <v>39</v>
      </c>
      <c r="B290" s="326" t="s">
        <v>1254</v>
      </c>
      <c r="C290" s="27" t="s">
        <v>235</v>
      </c>
      <c r="D290" s="554"/>
      <c r="E290" s="332"/>
      <c r="F290" s="471"/>
      <c r="G290" s="471"/>
      <c r="H290" s="332"/>
      <c r="I290" s="471"/>
      <c r="J290" s="331"/>
      <c r="K290" s="331"/>
      <c r="L290" s="331"/>
      <c r="M290" s="331"/>
      <c r="N290" s="331"/>
      <c r="O290" s="331"/>
      <c r="P290" s="331"/>
      <c r="Q290" s="331"/>
      <c r="R290" s="331"/>
      <c r="S290" s="331"/>
      <c r="T290" s="331"/>
      <c r="U290" s="331"/>
      <c r="V290" s="331"/>
      <c r="W290" s="331"/>
      <c r="X290" s="331"/>
      <c r="Y290" s="331"/>
      <c r="Z290" s="331"/>
      <c r="AA290" s="331"/>
      <c r="AB290" s="332"/>
      <c r="AC290" s="380">
        <f t="shared" si="203"/>
        <v>0</v>
      </c>
    </row>
    <row r="291" spans="1:36" s="10" customFormat="1" ht="48" customHeight="1">
      <c r="A291" s="397" t="s">
        <v>467</v>
      </c>
      <c r="B291" s="400" t="s">
        <v>183</v>
      </c>
      <c r="C291" s="27" t="s">
        <v>235</v>
      </c>
      <c r="D291" s="435"/>
      <c r="E291" s="435"/>
      <c r="F291" s="419"/>
      <c r="G291" s="419"/>
      <c r="H291" s="420"/>
      <c r="I291" s="421"/>
      <c r="J291" s="508">
        <f t="shared" ref="J291:AA291" si="210">+J292</f>
        <v>6159</v>
      </c>
      <c r="K291" s="508">
        <f t="shared" si="210"/>
        <v>0</v>
      </c>
      <c r="L291" s="508">
        <f t="shared" si="210"/>
        <v>0</v>
      </c>
      <c r="M291" s="508">
        <f t="shared" si="210"/>
        <v>6159</v>
      </c>
      <c r="N291" s="508">
        <f t="shared" si="210"/>
        <v>5296</v>
      </c>
      <c r="O291" s="508">
        <f t="shared" si="210"/>
        <v>0</v>
      </c>
      <c r="P291" s="508">
        <f t="shared" si="210"/>
        <v>0</v>
      </c>
      <c r="Q291" s="508">
        <f t="shared" si="210"/>
        <v>5296</v>
      </c>
      <c r="R291" s="508">
        <f t="shared" si="210"/>
        <v>5296</v>
      </c>
      <c r="S291" s="508">
        <f t="shared" si="210"/>
        <v>0</v>
      </c>
      <c r="T291" s="508">
        <f t="shared" si="210"/>
        <v>0</v>
      </c>
      <c r="U291" s="508">
        <f t="shared" si="210"/>
        <v>5296</v>
      </c>
      <c r="V291" s="508">
        <f t="shared" si="210"/>
        <v>33</v>
      </c>
      <c r="W291" s="508">
        <f t="shared" si="210"/>
        <v>33</v>
      </c>
      <c r="X291" s="508">
        <f t="shared" si="210"/>
        <v>33</v>
      </c>
      <c r="Y291" s="508">
        <f t="shared" si="210"/>
        <v>0</v>
      </c>
      <c r="Z291" s="508">
        <f t="shared" si="210"/>
        <v>0</v>
      </c>
      <c r="AA291" s="508">
        <f t="shared" si="210"/>
        <v>0</v>
      </c>
      <c r="AB291" s="509"/>
      <c r="AC291" s="380">
        <f t="shared" si="203"/>
        <v>0</v>
      </c>
    </row>
    <row r="292" spans="1:36" s="8" customFormat="1" ht="46.5" customHeight="1">
      <c r="A292" s="430" t="s">
        <v>144</v>
      </c>
      <c r="B292" s="27" t="s">
        <v>488</v>
      </c>
      <c r="C292" s="27" t="s">
        <v>235</v>
      </c>
      <c r="D292" s="26" t="s">
        <v>489</v>
      </c>
      <c r="E292" s="456" t="s">
        <v>490</v>
      </c>
      <c r="F292" s="13" t="s">
        <v>236</v>
      </c>
      <c r="G292" s="11" t="s">
        <v>186</v>
      </c>
      <c r="H292" s="98" t="s">
        <v>476</v>
      </c>
      <c r="I292" s="98" t="s">
        <v>491</v>
      </c>
      <c r="J292" s="446">
        <f>K292+L292+M292</f>
        <v>6159</v>
      </c>
      <c r="K292" s="28"/>
      <c r="L292" s="28"/>
      <c r="M292" s="612">
        <v>6159</v>
      </c>
      <c r="N292" s="28">
        <f>SUM(O292:Q292)</f>
        <v>5296</v>
      </c>
      <c r="O292" s="28"/>
      <c r="P292" s="28"/>
      <c r="Q292" s="44">
        <f>1050+4246</f>
        <v>5296</v>
      </c>
      <c r="R292" s="28">
        <f>SUM(S292:U292)</f>
        <v>5296</v>
      </c>
      <c r="S292" s="28"/>
      <c r="T292" s="28"/>
      <c r="U292" s="44">
        <f>1050+4246</f>
        <v>5296</v>
      </c>
      <c r="V292" s="44">
        <v>33</v>
      </c>
      <c r="W292" s="407">
        <f>SUM(X292:AA292)</f>
        <v>33</v>
      </c>
      <c r="X292" s="407">
        <v>33</v>
      </c>
      <c r="Y292" s="407"/>
      <c r="Z292" s="407"/>
      <c r="AA292" s="407"/>
      <c r="AB292" s="349" t="s">
        <v>1622</v>
      </c>
      <c r="AC292" s="380">
        <f t="shared" si="203"/>
        <v>0</v>
      </c>
      <c r="AJ292" s="8" t="s">
        <v>685</v>
      </c>
    </row>
    <row r="293" spans="1:36" s="417" customFormat="1" ht="28.5" customHeight="1">
      <c r="A293" s="327" t="s">
        <v>1306</v>
      </c>
      <c r="B293" s="413" t="s">
        <v>1307</v>
      </c>
      <c r="C293" s="27" t="s">
        <v>235</v>
      </c>
      <c r="D293" s="494"/>
      <c r="E293" s="494"/>
      <c r="F293" s="494"/>
      <c r="G293" s="494"/>
      <c r="H293" s="494"/>
      <c r="I293" s="327"/>
      <c r="J293" s="331"/>
      <c r="K293" s="331"/>
      <c r="L293" s="331"/>
      <c r="M293" s="331"/>
      <c r="N293" s="331"/>
      <c r="O293" s="331"/>
      <c r="P293" s="331"/>
      <c r="Q293" s="331"/>
      <c r="R293" s="331"/>
      <c r="S293" s="331"/>
      <c r="T293" s="331"/>
      <c r="U293" s="331"/>
      <c r="V293" s="331"/>
      <c r="W293" s="331"/>
      <c r="X293" s="331"/>
      <c r="Y293" s="331"/>
      <c r="Z293" s="331"/>
      <c r="AA293" s="331"/>
      <c r="AB293" s="332"/>
      <c r="AC293" s="380">
        <f t="shared" si="203"/>
        <v>0</v>
      </c>
    </row>
    <row r="294" spans="1:36" s="501" customFormat="1" ht="43.5" customHeight="1">
      <c r="A294" s="474">
        <v>2</v>
      </c>
      <c r="B294" s="317" t="s">
        <v>89</v>
      </c>
      <c r="C294" s="317" t="s">
        <v>89</v>
      </c>
      <c r="D294" s="317"/>
      <c r="E294" s="317"/>
      <c r="F294" s="475"/>
      <c r="G294" s="475"/>
      <c r="H294" s="475"/>
      <c r="I294" s="389"/>
      <c r="J294" s="391">
        <f t="shared" ref="J294:AA294" si="211">J295</f>
        <v>1499213</v>
      </c>
      <c r="K294" s="391">
        <f t="shared" si="211"/>
        <v>1001934</v>
      </c>
      <c r="L294" s="391">
        <f t="shared" si="211"/>
        <v>13390</v>
      </c>
      <c r="M294" s="391">
        <f t="shared" si="211"/>
        <v>483897</v>
      </c>
      <c r="N294" s="391">
        <f t="shared" si="211"/>
        <v>0</v>
      </c>
      <c r="O294" s="391">
        <f t="shared" si="211"/>
        <v>0</v>
      </c>
      <c r="P294" s="391">
        <f t="shared" si="211"/>
        <v>0</v>
      </c>
      <c r="Q294" s="391">
        <f t="shared" si="211"/>
        <v>0</v>
      </c>
      <c r="R294" s="391">
        <f t="shared" si="211"/>
        <v>0</v>
      </c>
      <c r="S294" s="391">
        <f t="shared" si="211"/>
        <v>0</v>
      </c>
      <c r="T294" s="391">
        <f t="shared" si="211"/>
        <v>0</v>
      </c>
      <c r="U294" s="391">
        <f t="shared" si="211"/>
        <v>0</v>
      </c>
      <c r="V294" s="391">
        <f t="shared" si="211"/>
        <v>1015316</v>
      </c>
      <c r="W294" s="391">
        <f t="shared" si="211"/>
        <v>22759</v>
      </c>
      <c r="X294" s="391">
        <f t="shared" si="211"/>
        <v>0</v>
      </c>
      <c r="Y294" s="391">
        <f t="shared" si="211"/>
        <v>0</v>
      </c>
      <c r="Z294" s="391">
        <f t="shared" si="211"/>
        <v>0</v>
      </c>
      <c r="AA294" s="391">
        <f t="shared" si="211"/>
        <v>22759</v>
      </c>
      <c r="AB294" s="392"/>
      <c r="AC294" s="380">
        <f t="shared" si="203"/>
        <v>22759</v>
      </c>
    </row>
    <row r="295" spans="1:36" s="501" customFormat="1" ht="24.75" customHeight="1">
      <c r="A295" s="613" t="s">
        <v>1287</v>
      </c>
      <c r="B295" s="317" t="s">
        <v>38</v>
      </c>
      <c r="C295" s="15" t="s">
        <v>89</v>
      </c>
      <c r="D295" s="317"/>
      <c r="E295" s="317"/>
      <c r="F295" s="475"/>
      <c r="G295" s="475"/>
      <c r="H295" s="475"/>
      <c r="I295" s="389"/>
      <c r="J295" s="391">
        <f t="shared" ref="J295:AA295" si="212">J298+J297+J296</f>
        <v>1499213</v>
      </c>
      <c r="K295" s="391">
        <f t="shared" si="212"/>
        <v>1001934</v>
      </c>
      <c r="L295" s="391">
        <f t="shared" si="212"/>
        <v>13390</v>
      </c>
      <c r="M295" s="391">
        <f t="shared" si="212"/>
        <v>483897</v>
      </c>
      <c r="N295" s="391">
        <f t="shared" si="212"/>
        <v>0</v>
      </c>
      <c r="O295" s="391">
        <f t="shared" si="212"/>
        <v>0</v>
      </c>
      <c r="P295" s="391">
        <f t="shared" si="212"/>
        <v>0</v>
      </c>
      <c r="Q295" s="391">
        <f t="shared" si="212"/>
        <v>0</v>
      </c>
      <c r="R295" s="391">
        <f t="shared" si="212"/>
        <v>0</v>
      </c>
      <c r="S295" s="391">
        <f t="shared" si="212"/>
        <v>0</v>
      </c>
      <c r="T295" s="391">
        <f t="shared" si="212"/>
        <v>0</v>
      </c>
      <c r="U295" s="391">
        <f t="shared" si="212"/>
        <v>0</v>
      </c>
      <c r="V295" s="391">
        <f t="shared" si="212"/>
        <v>1015316</v>
      </c>
      <c r="W295" s="391">
        <f t="shared" si="212"/>
        <v>22759</v>
      </c>
      <c r="X295" s="391">
        <f t="shared" si="212"/>
        <v>0</v>
      </c>
      <c r="Y295" s="391">
        <f t="shared" si="212"/>
        <v>0</v>
      </c>
      <c r="Z295" s="391">
        <f t="shared" si="212"/>
        <v>0</v>
      </c>
      <c r="AA295" s="391">
        <f t="shared" si="212"/>
        <v>22759</v>
      </c>
      <c r="AB295" s="392"/>
      <c r="AC295" s="380">
        <f t="shared" si="203"/>
        <v>22759</v>
      </c>
    </row>
    <row r="296" spans="1:36" s="10" customFormat="1" ht="39.75" customHeight="1">
      <c r="A296" s="332" t="s">
        <v>39</v>
      </c>
      <c r="B296" s="326" t="s">
        <v>1254</v>
      </c>
      <c r="C296" s="15" t="s">
        <v>89</v>
      </c>
      <c r="D296" s="554"/>
      <c r="E296" s="332"/>
      <c r="F296" s="471"/>
      <c r="G296" s="471"/>
      <c r="H296" s="332"/>
      <c r="I296" s="471"/>
      <c r="J296" s="331"/>
      <c r="K296" s="331"/>
      <c r="L296" s="331"/>
      <c r="M296" s="331"/>
      <c r="N296" s="331"/>
      <c r="O296" s="331"/>
      <c r="P296" s="331"/>
      <c r="Q296" s="331"/>
      <c r="R296" s="331"/>
      <c r="S296" s="331"/>
      <c r="T296" s="331"/>
      <c r="U296" s="331"/>
      <c r="V296" s="331"/>
      <c r="W296" s="331"/>
      <c r="X296" s="331"/>
      <c r="Y296" s="331"/>
      <c r="Z296" s="331"/>
      <c r="AA296" s="331"/>
      <c r="AB296" s="332"/>
      <c r="AC296" s="380">
        <f t="shared" si="203"/>
        <v>0</v>
      </c>
    </row>
    <row r="297" spans="1:36" s="10" customFormat="1" ht="45">
      <c r="A297" s="397" t="s">
        <v>467</v>
      </c>
      <c r="B297" s="477" t="s">
        <v>56</v>
      </c>
      <c r="C297" s="15" t="s">
        <v>89</v>
      </c>
      <c r="D297" s="477"/>
      <c r="E297" s="477"/>
      <c r="F297" s="614"/>
      <c r="G297" s="328"/>
      <c r="H297" s="328"/>
      <c r="I297" s="328"/>
      <c r="J297" s="436"/>
      <c r="K297" s="436"/>
      <c r="L297" s="436"/>
      <c r="M297" s="436"/>
      <c r="N297" s="436"/>
      <c r="O297" s="436"/>
      <c r="P297" s="436"/>
      <c r="Q297" s="436"/>
      <c r="R297" s="436"/>
      <c r="S297" s="436"/>
      <c r="T297" s="436"/>
      <c r="U297" s="436"/>
      <c r="V297" s="436"/>
      <c r="W297" s="436"/>
      <c r="X297" s="436"/>
      <c r="Y297" s="436"/>
      <c r="Z297" s="436"/>
      <c r="AA297" s="436"/>
      <c r="AB297" s="437"/>
      <c r="AC297" s="380">
        <f t="shared" si="203"/>
        <v>0</v>
      </c>
    </row>
    <row r="298" spans="1:36" s="417" customFormat="1" ht="26.25" customHeight="1">
      <c r="A298" s="397" t="s">
        <v>1306</v>
      </c>
      <c r="B298" s="413" t="s">
        <v>1307</v>
      </c>
      <c r="C298" s="15" t="s">
        <v>89</v>
      </c>
      <c r="D298" s="477"/>
      <c r="E298" s="477"/>
      <c r="F298" s="494"/>
      <c r="G298" s="494"/>
      <c r="H298" s="494"/>
      <c r="I298" s="327"/>
      <c r="J298" s="331">
        <f t="shared" ref="J298:AA298" si="213">J299</f>
        <v>1499213</v>
      </c>
      <c r="K298" s="331">
        <f t="shared" si="213"/>
        <v>1001934</v>
      </c>
      <c r="L298" s="331">
        <f t="shared" si="213"/>
        <v>13390</v>
      </c>
      <c r="M298" s="331">
        <f t="shared" si="213"/>
        <v>483897</v>
      </c>
      <c r="N298" s="331">
        <f t="shared" si="213"/>
        <v>0</v>
      </c>
      <c r="O298" s="331">
        <f t="shared" si="213"/>
        <v>0</v>
      </c>
      <c r="P298" s="331">
        <f t="shared" si="213"/>
        <v>0</v>
      </c>
      <c r="Q298" s="331">
        <f t="shared" si="213"/>
        <v>0</v>
      </c>
      <c r="R298" s="331">
        <f t="shared" si="213"/>
        <v>0</v>
      </c>
      <c r="S298" s="331">
        <f t="shared" si="213"/>
        <v>0</v>
      </c>
      <c r="T298" s="331">
        <f t="shared" si="213"/>
        <v>0</v>
      </c>
      <c r="U298" s="331">
        <f t="shared" si="213"/>
        <v>0</v>
      </c>
      <c r="V298" s="331">
        <f t="shared" si="213"/>
        <v>1015316</v>
      </c>
      <c r="W298" s="331">
        <f t="shared" si="213"/>
        <v>22759</v>
      </c>
      <c r="X298" s="331">
        <f t="shared" si="213"/>
        <v>0</v>
      </c>
      <c r="Y298" s="331">
        <f t="shared" si="213"/>
        <v>0</v>
      </c>
      <c r="Z298" s="331">
        <f t="shared" si="213"/>
        <v>0</v>
      </c>
      <c r="AA298" s="331">
        <f t="shared" si="213"/>
        <v>22759</v>
      </c>
      <c r="AB298" s="332"/>
      <c r="AC298" s="380">
        <f t="shared" si="203"/>
        <v>22759</v>
      </c>
    </row>
    <row r="299" spans="1:36" s="8" customFormat="1" ht="60">
      <c r="A299" s="32" t="s">
        <v>144</v>
      </c>
      <c r="B299" s="42" t="s">
        <v>164</v>
      </c>
      <c r="C299" s="15" t="s">
        <v>89</v>
      </c>
      <c r="D299" s="615">
        <v>8055650</v>
      </c>
      <c r="E299" s="42"/>
      <c r="F299" s="13" t="s">
        <v>172</v>
      </c>
      <c r="G299" s="13" t="s">
        <v>171</v>
      </c>
      <c r="H299" s="45" t="s">
        <v>165</v>
      </c>
      <c r="I299" s="20" t="s">
        <v>166</v>
      </c>
      <c r="J299" s="19">
        <v>1499213</v>
      </c>
      <c r="K299" s="19">
        <v>1001934</v>
      </c>
      <c r="L299" s="19">
        <f>497287-M299</f>
        <v>13390</v>
      </c>
      <c r="M299" s="19">
        <v>483897</v>
      </c>
      <c r="N299" s="19"/>
      <c r="O299" s="19"/>
      <c r="P299" s="19"/>
      <c r="Q299" s="19"/>
      <c r="R299" s="19"/>
      <c r="S299" s="19"/>
      <c r="T299" s="19"/>
      <c r="U299" s="19"/>
      <c r="V299" s="12">
        <v>1015316</v>
      </c>
      <c r="W299" s="19">
        <f>SUM(X299:AA299)</f>
        <v>22759</v>
      </c>
      <c r="X299" s="19"/>
      <c r="Y299" s="19"/>
      <c r="Z299" s="19"/>
      <c r="AA299" s="19">
        <v>22759</v>
      </c>
      <c r="AB299" s="616" t="s">
        <v>1639</v>
      </c>
      <c r="AC299" s="380">
        <f t="shared" si="203"/>
        <v>22759</v>
      </c>
      <c r="AJ299" s="8" t="s">
        <v>1820</v>
      </c>
    </row>
    <row r="300" spans="1:36" s="8" customFormat="1" ht="33.75" customHeight="1">
      <c r="A300" s="485">
        <v>3</v>
      </c>
      <c r="B300" s="312" t="s">
        <v>718</v>
      </c>
      <c r="C300" s="312" t="s">
        <v>718</v>
      </c>
      <c r="D300" s="13"/>
      <c r="E300" s="13"/>
      <c r="F300" s="13"/>
      <c r="G300" s="13"/>
      <c r="H300" s="45"/>
      <c r="I300" s="20"/>
      <c r="J300" s="548">
        <f t="shared" ref="J300:AA300" si="214">J301</f>
        <v>19678</v>
      </c>
      <c r="K300" s="548">
        <f t="shared" si="214"/>
        <v>0</v>
      </c>
      <c r="L300" s="548">
        <f t="shared" si="214"/>
        <v>0</v>
      </c>
      <c r="M300" s="548">
        <f t="shared" si="214"/>
        <v>19678</v>
      </c>
      <c r="N300" s="548">
        <f t="shared" si="214"/>
        <v>8730</v>
      </c>
      <c r="O300" s="548">
        <f t="shared" si="214"/>
        <v>0</v>
      </c>
      <c r="P300" s="548">
        <f t="shared" si="214"/>
        <v>0</v>
      </c>
      <c r="Q300" s="548">
        <f t="shared" si="214"/>
        <v>8730</v>
      </c>
      <c r="R300" s="548">
        <f t="shared" si="214"/>
        <v>8730</v>
      </c>
      <c r="S300" s="548">
        <f t="shared" si="214"/>
        <v>0</v>
      </c>
      <c r="T300" s="548">
        <f t="shared" si="214"/>
        <v>0</v>
      </c>
      <c r="U300" s="548">
        <f t="shared" si="214"/>
        <v>8730</v>
      </c>
      <c r="V300" s="548">
        <f t="shared" si="214"/>
        <v>10248</v>
      </c>
      <c r="W300" s="548">
        <f t="shared" si="214"/>
        <v>500</v>
      </c>
      <c r="X300" s="548">
        <f t="shared" si="214"/>
        <v>0</v>
      </c>
      <c r="Y300" s="548">
        <f t="shared" si="214"/>
        <v>500</v>
      </c>
      <c r="Z300" s="548">
        <f t="shared" si="214"/>
        <v>0</v>
      </c>
      <c r="AA300" s="548">
        <f t="shared" si="214"/>
        <v>0</v>
      </c>
      <c r="AB300" s="392"/>
      <c r="AC300" s="380">
        <f t="shared" si="203"/>
        <v>0</v>
      </c>
    </row>
    <row r="301" spans="1:36" s="10" customFormat="1" ht="24" customHeight="1">
      <c r="A301" s="486" t="s">
        <v>1289</v>
      </c>
      <c r="B301" s="617" t="s">
        <v>38</v>
      </c>
      <c r="C301" s="42" t="s">
        <v>718</v>
      </c>
      <c r="D301" s="328"/>
      <c r="E301" s="328"/>
      <c r="F301" s="328"/>
      <c r="G301" s="328"/>
      <c r="H301" s="618"/>
      <c r="I301" s="473"/>
      <c r="J301" s="619">
        <f t="shared" ref="J301:AA301" si="215">J303+J302</f>
        <v>19678</v>
      </c>
      <c r="K301" s="619">
        <f t="shared" si="215"/>
        <v>0</v>
      </c>
      <c r="L301" s="619">
        <f t="shared" si="215"/>
        <v>0</v>
      </c>
      <c r="M301" s="619">
        <f t="shared" si="215"/>
        <v>19678</v>
      </c>
      <c r="N301" s="619">
        <f t="shared" si="215"/>
        <v>8730</v>
      </c>
      <c r="O301" s="619">
        <f t="shared" si="215"/>
        <v>0</v>
      </c>
      <c r="P301" s="619">
        <f t="shared" si="215"/>
        <v>0</v>
      </c>
      <c r="Q301" s="619">
        <f t="shared" si="215"/>
        <v>8730</v>
      </c>
      <c r="R301" s="619">
        <f t="shared" si="215"/>
        <v>8730</v>
      </c>
      <c r="S301" s="619">
        <f t="shared" si="215"/>
        <v>0</v>
      </c>
      <c r="T301" s="619">
        <f t="shared" si="215"/>
        <v>0</v>
      </c>
      <c r="U301" s="619">
        <f t="shared" si="215"/>
        <v>8730</v>
      </c>
      <c r="V301" s="619">
        <f t="shared" si="215"/>
        <v>10248</v>
      </c>
      <c r="W301" s="619">
        <f t="shared" si="215"/>
        <v>500</v>
      </c>
      <c r="X301" s="619">
        <f t="shared" si="215"/>
        <v>0</v>
      </c>
      <c r="Y301" s="619">
        <f t="shared" si="215"/>
        <v>500</v>
      </c>
      <c r="Z301" s="619">
        <f t="shared" si="215"/>
        <v>0</v>
      </c>
      <c r="AA301" s="619">
        <f t="shared" si="215"/>
        <v>0</v>
      </c>
      <c r="AB301" s="396"/>
      <c r="AC301" s="380">
        <f t="shared" si="203"/>
        <v>0</v>
      </c>
    </row>
    <row r="302" spans="1:36" s="10" customFormat="1" ht="39.75" customHeight="1">
      <c r="A302" s="332" t="s">
        <v>39</v>
      </c>
      <c r="B302" s="326" t="s">
        <v>1254</v>
      </c>
      <c r="C302" s="42" t="s">
        <v>718</v>
      </c>
      <c r="D302" s="554"/>
      <c r="E302" s="332"/>
      <c r="F302" s="471"/>
      <c r="G302" s="471"/>
      <c r="H302" s="332"/>
      <c r="I302" s="471"/>
      <c r="J302" s="331"/>
      <c r="K302" s="331"/>
      <c r="L302" s="331"/>
      <c r="M302" s="331"/>
      <c r="N302" s="331"/>
      <c r="O302" s="331"/>
      <c r="P302" s="331"/>
      <c r="Q302" s="331"/>
      <c r="R302" s="331"/>
      <c r="S302" s="331"/>
      <c r="T302" s="331"/>
      <c r="U302" s="331"/>
      <c r="V302" s="331"/>
      <c r="W302" s="331"/>
      <c r="X302" s="331"/>
      <c r="Y302" s="331"/>
      <c r="Z302" s="331"/>
      <c r="AA302" s="331"/>
      <c r="AB302" s="332"/>
      <c r="AC302" s="380">
        <f t="shared" si="203"/>
        <v>0</v>
      </c>
    </row>
    <row r="303" spans="1:36" s="10" customFormat="1" ht="50.25" customHeight="1">
      <c r="A303" s="479" t="s">
        <v>467</v>
      </c>
      <c r="B303" s="620" t="s">
        <v>56</v>
      </c>
      <c r="C303" s="42" t="s">
        <v>718</v>
      </c>
      <c r="D303" s="328"/>
      <c r="E303" s="328"/>
      <c r="F303" s="328"/>
      <c r="G303" s="328"/>
      <c r="H303" s="618"/>
      <c r="I303" s="473"/>
      <c r="J303" s="416">
        <f t="shared" ref="J303:AA303" si="216">SUM(J304)</f>
        <v>19678</v>
      </c>
      <c r="K303" s="416">
        <f t="shared" si="216"/>
        <v>0</v>
      </c>
      <c r="L303" s="416">
        <f t="shared" si="216"/>
        <v>0</v>
      </c>
      <c r="M303" s="416">
        <f t="shared" si="216"/>
        <v>19678</v>
      </c>
      <c r="N303" s="416">
        <f t="shared" si="216"/>
        <v>8730</v>
      </c>
      <c r="O303" s="416">
        <f t="shared" si="216"/>
        <v>0</v>
      </c>
      <c r="P303" s="416">
        <f t="shared" si="216"/>
        <v>0</v>
      </c>
      <c r="Q303" s="416">
        <f t="shared" si="216"/>
        <v>8730</v>
      </c>
      <c r="R303" s="416">
        <f t="shared" si="216"/>
        <v>8730</v>
      </c>
      <c r="S303" s="416">
        <f t="shared" si="216"/>
        <v>0</v>
      </c>
      <c r="T303" s="416">
        <f t="shared" si="216"/>
        <v>0</v>
      </c>
      <c r="U303" s="416">
        <f t="shared" si="216"/>
        <v>8730</v>
      </c>
      <c r="V303" s="416">
        <f t="shared" si="216"/>
        <v>10248</v>
      </c>
      <c r="W303" s="416">
        <f t="shared" si="216"/>
        <v>500</v>
      </c>
      <c r="X303" s="416">
        <f t="shared" si="216"/>
        <v>0</v>
      </c>
      <c r="Y303" s="416">
        <f t="shared" si="216"/>
        <v>500</v>
      </c>
      <c r="Z303" s="416">
        <f t="shared" si="216"/>
        <v>0</v>
      </c>
      <c r="AA303" s="416">
        <f t="shared" si="216"/>
        <v>0</v>
      </c>
      <c r="AB303" s="332"/>
      <c r="AC303" s="380">
        <f t="shared" si="203"/>
        <v>0</v>
      </c>
    </row>
    <row r="304" spans="1:36" s="8" customFormat="1" ht="48.75" customHeight="1">
      <c r="A304" s="32" t="s">
        <v>144</v>
      </c>
      <c r="B304" s="42" t="s">
        <v>1036</v>
      </c>
      <c r="C304" s="42" t="s">
        <v>718</v>
      </c>
      <c r="D304" s="13">
        <v>7862751</v>
      </c>
      <c r="E304" s="13"/>
      <c r="F304" s="13" t="s">
        <v>1037</v>
      </c>
      <c r="G304" s="13" t="s">
        <v>186</v>
      </c>
      <c r="H304" s="45" t="s">
        <v>122</v>
      </c>
      <c r="I304" s="20" t="s">
        <v>1038</v>
      </c>
      <c r="J304" s="19">
        <v>19678</v>
      </c>
      <c r="K304" s="19"/>
      <c r="L304" s="19"/>
      <c r="M304" s="19">
        <v>19678</v>
      </c>
      <c r="N304" s="19">
        <v>8730</v>
      </c>
      <c r="O304" s="19"/>
      <c r="P304" s="19"/>
      <c r="Q304" s="19">
        <v>8730</v>
      </c>
      <c r="R304" s="19">
        <v>8730</v>
      </c>
      <c r="S304" s="19"/>
      <c r="T304" s="19"/>
      <c r="U304" s="19">
        <v>8730</v>
      </c>
      <c r="V304" s="19">
        <v>10248</v>
      </c>
      <c r="W304" s="407">
        <f>SUM(X304:AA304)</f>
        <v>500</v>
      </c>
      <c r="X304" s="407"/>
      <c r="Y304" s="407">
        <v>500</v>
      </c>
      <c r="Z304" s="407"/>
      <c r="AA304" s="407"/>
      <c r="AB304" s="616" t="s">
        <v>1639</v>
      </c>
      <c r="AC304" s="380">
        <f t="shared" si="203"/>
        <v>0</v>
      </c>
      <c r="AJ304" s="8" t="s">
        <v>685</v>
      </c>
    </row>
    <row r="305" spans="1:36" s="8" customFormat="1" ht="35.25" customHeight="1">
      <c r="A305" s="613" t="s">
        <v>330</v>
      </c>
      <c r="B305" s="317" t="s">
        <v>46</v>
      </c>
      <c r="C305" s="320"/>
      <c r="D305" s="317"/>
      <c r="E305" s="317"/>
      <c r="F305" s="320"/>
      <c r="G305" s="320"/>
      <c r="H305" s="320"/>
      <c r="I305" s="320"/>
      <c r="J305" s="14">
        <f t="shared" ref="J305:AA305" si="217">+J306+J581+J867+J873</f>
        <v>110902555.36299601</v>
      </c>
      <c r="K305" s="14">
        <f t="shared" si="217"/>
        <v>1128938</v>
      </c>
      <c r="L305" s="14">
        <f t="shared" si="217"/>
        <v>17733177</v>
      </c>
      <c r="M305" s="14">
        <f t="shared" si="217"/>
        <v>37697240.362995997</v>
      </c>
      <c r="N305" s="14">
        <f t="shared" si="217"/>
        <v>10007931.694691002</v>
      </c>
      <c r="O305" s="14">
        <f t="shared" si="217"/>
        <v>396951</v>
      </c>
      <c r="P305" s="14">
        <f t="shared" si="217"/>
        <v>4519786.9526380002</v>
      </c>
      <c r="Q305" s="14">
        <f t="shared" si="217"/>
        <v>5090048.7420530003</v>
      </c>
      <c r="R305" s="14">
        <f t="shared" si="217"/>
        <v>16557290.109367998</v>
      </c>
      <c r="S305" s="14">
        <f t="shared" si="217"/>
        <v>416336</v>
      </c>
      <c r="T305" s="14">
        <f t="shared" si="217"/>
        <v>8089492.1219999995</v>
      </c>
      <c r="U305" s="14">
        <f t="shared" si="217"/>
        <v>8051461.9873680007</v>
      </c>
      <c r="V305" s="14">
        <f t="shared" si="217"/>
        <v>21763004.811000001</v>
      </c>
      <c r="W305" s="14">
        <f t="shared" si="217"/>
        <v>8245059.9949999992</v>
      </c>
      <c r="X305" s="14">
        <f t="shared" si="217"/>
        <v>1059328.003</v>
      </c>
      <c r="Y305" s="14">
        <f t="shared" si="217"/>
        <v>3047896.9220000003</v>
      </c>
      <c r="Z305" s="14">
        <f t="shared" si="217"/>
        <v>4022594.0700000003</v>
      </c>
      <c r="AA305" s="14">
        <f t="shared" si="217"/>
        <v>115241</v>
      </c>
      <c r="AB305" s="102"/>
      <c r="AC305" s="380">
        <f t="shared" si="203"/>
        <v>115240.99999999814</v>
      </c>
    </row>
    <row r="306" spans="1:36" s="8" customFormat="1" ht="48" customHeight="1">
      <c r="A306" s="474" t="s">
        <v>1705</v>
      </c>
      <c r="B306" s="317" t="s">
        <v>47</v>
      </c>
      <c r="C306" s="320"/>
      <c r="D306" s="317"/>
      <c r="E306" s="317"/>
      <c r="F306" s="320"/>
      <c r="G306" s="320"/>
      <c r="H306" s="320"/>
      <c r="I306" s="320"/>
      <c r="J306" s="14">
        <f>J307+J314+J323+J340+J330+J353+J359+J365+J371+J377+J383+J392+J400+J409+J416+J430+J437+J446+J457+J466+J475+J482+J489+J502+J347+J524+J531+J537+J544+J554+J560+J566+J495+J576</f>
        <v>4871197.68</v>
      </c>
      <c r="K306" s="14">
        <f t="shared" ref="K306:AA306" si="218">K307+K314+K323+K340+K330+K353+K359+K365+K371+K377+K383+K392+K400+K409+K416+K430+K437+K446+K457+K466+K475+K482+K489+K502+K347+K524+K531+K537+K544+K554+K560+K566+K495+K576</f>
        <v>1128938</v>
      </c>
      <c r="L306" s="14">
        <f t="shared" si="218"/>
        <v>1733803</v>
      </c>
      <c r="M306" s="14">
        <f t="shared" si="218"/>
        <v>2085256.68</v>
      </c>
      <c r="N306" s="14">
        <f t="shared" si="218"/>
        <v>1615561.3928650001</v>
      </c>
      <c r="O306" s="14">
        <f t="shared" si="218"/>
        <v>396951</v>
      </c>
      <c r="P306" s="14">
        <f t="shared" si="218"/>
        <v>589080</v>
      </c>
      <c r="Q306" s="14">
        <f t="shared" si="218"/>
        <v>629485.39286500006</v>
      </c>
      <c r="R306" s="14">
        <f t="shared" si="218"/>
        <v>1796017</v>
      </c>
      <c r="S306" s="14">
        <f t="shared" si="218"/>
        <v>416336</v>
      </c>
      <c r="T306" s="14">
        <f t="shared" si="218"/>
        <v>704779</v>
      </c>
      <c r="U306" s="14">
        <f t="shared" si="218"/>
        <v>674902</v>
      </c>
      <c r="V306" s="14">
        <f t="shared" si="218"/>
        <v>2311939.58</v>
      </c>
      <c r="W306" s="14">
        <f t="shared" si="218"/>
        <v>646323.1</v>
      </c>
      <c r="X306" s="14">
        <f t="shared" si="218"/>
        <v>151900.1</v>
      </c>
      <c r="Y306" s="14">
        <f t="shared" si="218"/>
        <v>369657</v>
      </c>
      <c r="Z306" s="14">
        <f t="shared" si="218"/>
        <v>9525</v>
      </c>
      <c r="AA306" s="14">
        <f t="shared" si="218"/>
        <v>115241</v>
      </c>
      <c r="AB306" s="102"/>
      <c r="AC306" s="380">
        <f t="shared" si="203"/>
        <v>115241</v>
      </c>
    </row>
    <row r="307" spans="1:36" s="231" customFormat="1" ht="22.5" customHeight="1">
      <c r="A307" s="474">
        <v>1</v>
      </c>
      <c r="B307" s="317" t="s">
        <v>124</v>
      </c>
      <c r="C307" s="317" t="s">
        <v>124</v>
      </c>
      <c r="D307" s="317"/>
      <c r="E307" s="317"/>
      <c r="F307" s="320"/>
      <c r="G307" s="320"/>
      <c r="H307" s="320"/>
      <c r="I307" s="320"/>
      <c r="J307" s="14">
        <f t="shared" ref="J307:AA307" si="219">J308</f>
        <v>84709</v>
      </c>
      <c r="K307" s="14">
        <f t="shared" si="219"/>
        <v>43383</v>
      </c>
      <c r="L307" s="14">
        <f t="shared" si="219"/>
        <v>0</v>
      </c>
      <c r="M307" s="14">
        <f t="shared" si="219"/>
        <v>41326</v>
      </c>
      <c r="N307" s="14">
        <f t="shared" si="219"/>
        <v>32350</v>
      </c>
      <c r="O307" s="14">
        <f t="shared" si="219"/>
        <v>27189</v>
      </c>
      <c r="P307" s="14">
        <f t="shared" si="219"/>
        <v>0</v>
      </c>
      <c r="Q307" s="14">
        <f t="shared" si="219"/>
        <v>5161</v>
      </c>
      <c r="R307" s="14">
        <f t="shared" si="219"/>
        <v>52296</v>
      </c>
      <c r="S307" s="14">
        <f t="shared" si="219"/>
        <v>40096</v>
      </c>
      <c r="T307" s="14">
        <f t="shared" si="219"/>
        <v>0</v>
      </c>
      <c r="U307" s="14">
        <f t="shared" si="219"/>
        <v>12200</v>
      </c>
      <c r="V307" s="14">
        <f t="shared" si="219"/>
        <v>25400</v>
      </c>
      <c r="W307" s="14">
        <f t="shared" si="219"/>
        <v>25400</v>
      </c>
      <c r="X307" s="14">
        <f t="shared" si="219"/>
        <v>0</v>
      </c>
      <c r="Y307" s="14">
        <f t="shared" si="219"/>
        <v>25400</v>
      </c>
      <c r="Z307" s="14">
        <f t="shared" si="219"/>
        <v>0</v>
      </c>
      <c r="AA307" s="14">
        <f t="shared" si="219"/>
        <v>0</v>
      </c>
      <c r="AB307" s="102"/>
      <c r="AC307" s="380">
        <f t="shared" si="203"/>
        <v>0</v>
      </c>
    </row>
    <row r="308" spans="1:36" s="422" customFormat="1" ht="22.5" customHeight="1">
      <c r="A308" s="393" t="s">
        <v>1305</v>
      </c>
      <c r="B308" s="394" t="s">
        <v>38</v>
      </c>
      <c r="C308" s="15" t="s">
        <v>124</v>
      </c>
      <c r="D308" s="394"/>
      <c r="E308" s="394"/>
      <c r="F308" s="421"/>
      <c r="G308" s="421"/>
      <c r="H308" s="421"/>
      <c r="I308" s="421"/>
      <c r="J308" s="453">
        <f t="shared" ref="J308:AA308" si="220">J310+J309+J313</f>
        <v>84709</v>
      </c>
      <c r="K308" s="453">
        <f t="shared" si="220"/>
        <v>43383</v>
      </c>
      <c r="L308" s="453">
        <f t="shared" si="220"/>
        <v>0</v>
      </c>
      <c r="M308" s="453">
        <f t="shared" si="220"/>
        <v>41326</v>
      </c>
      <c r="N308" s="453">
        <f t="shared" si="220"/>
        <v>32350</v>
      </c>
      <c r="O308" s="453">
        <f t="shared" si="220"/>
        <v>27189</v>
      </c>
      <c r="P308" s="453">
        <f t="shared" si="220"/>
        <v>0</v>
      </c>
      <c r="Q308" s="453">
        <f t="shared" si="220"/>
        <v>5161</v>
      </c>
      <c r="R308" s="453">
        <f t="shared" si="220"/>
        <v>52296</v>
      </c>
      <c r="S308" s="453">
        <f t="shared" si="220"/>
        <v>40096</v>
      </c>
      <c r="T308" s="453">
        <f t="shared" si="220"/>
        <v>0</v>
      </c>
      <c r="U308" s="453">
        <f t="shared" si="220"/>
        <v>12200</v>
      </c>
      <c r="V308" s="453">
        <f t="shared" si="220"/>
        <v>25400</v>
      </c>
      <c r="W308" s="453">
        <f t="shared" si="220"/>
        <v>25400</v>
      </c>
      <c r="X308" s="453">
        <f t="shared" si="220"/>
        <v>0</v>
      </c>
      <c r="Y308" s="453">
        <f t="shared" si="220"/>
        <v>25400</v>
      </c>
      <c r="Z308" s="453">
        <f t="shared" si="220"/>
        <v>0</v>
      </c>
      <c r="AA308" s="453">
        <f t="shared" si="220"/>
        <v>0</v>
      </c>
      <c r="AB308" s="454"/>
      <c r="AC308" s="380">
        <f t="shared" si="203"/>
        <v>0</v>
      </c>
    </row>
    <row r="309" spans="1:36" s="10" customFormat="1" ht="39.75" customHeight="1">
      <c r="A309" s="332" t="s">
        <v>39</v>
      </c>
      <c r="B309" s="326" t="s">
        <v>1254</v>
      </c>
      <c r="C309" s="15" t="s">
        <v>124</v>
      </c>
      <c r="D309" s="554"/>
      <c r="E309" s="332"/>
      <c r="F309" s="471"/>
      <c r="G309" s="471"/>
      <c r="H309" s="332"/>
      <c r="I309" s="471"/>
      <c r="J309" s="331"/>
      <c r="K309" s="331"/>
      <c r="L309" s="331"/>
      <c r="M309" s="331"/>
      <c r="N309" s="331"/>
      <c r="O309" s="331"/>
      <c r="P309" s="331"/>
      <c r="Q309" s="331"/>
      <c r="R309" s="331"/>
      <c r="S309" s="331"/>
      <c r="T309" s="331"/>
      <c r="U309" s="331"/>
      <c r="V309" s="331"/>
      <c r="W309" s="331"/>
      <c r="X309" s="331"/>
      <c r="Y309" s="331"/>
      <c r="Z309" s="331"/>
      <c r="AA309" s="331"/>
      <c r="AB309" s="332"/>
      <c r="AC309" s="380">
        <f t="shared" si="203"/>
        <v>0</v>
      </c>
    </row>
    <row r="310" spans="1:36" s="10" customFormat="1" ht="51" customHeight="1">
      <c r="A310" s="397" t="s">
        <v>467</v>
      </c>
      <c r="B310" s="400" t="s">
        <v>56</v>
      </c>
      <c r="C310" s="15" t="s">
        <v>124</v>
      </c>
      <c r="D310" s="400"/>
      <c r="E310" s="400"/>
      <c r="F310" s="328"/>
      <c r="G310" s="328"/>
      <c r="H310" s="328"/>
      <c r="I310" s="328"/>
      <c r="J310" s="436">
        <f>+J311+J312</f>
        <v>84709</v>
      </c>
      <c r="K310" s="436">
        <f t="shared" ref="K310:AA310" si="221">+K311+K312</f>
        <v>43383</v>
      </c>
      <c r="L310" s="436">
        <f t="shared" si="221"/>
        <v>0</v>
      </c>
      <c r="M310" s="436">
        <f t="shared" si="221"/>
        <v>41326</v>
      </c>
      <c r="N310" s="436">
        <f t="shared" si="221"/>
        <v>32350</v>
      </c>
      <c r="O310" s="436">
        <f t="shared" si="221"/>
        <v>27189</v>
      </c>
      <c r="P310" s="436">
        <f t="shared" si="221"/>
        <v>0</v>
      </c>
      <c r="Q310" s="436">
        <f t="shared" si="221"/>
        <v>5161</v>
      </c>
      <c r="R310" s="436">
        <f t="shared" si="221"/>
        <v>52296</v>
      </c>
      <c r="S310" s="436">
        <f t="shared" si="221"/>
        <v>40096</v>
      </c>
      <c r="T310" s="436">
        <f t="shared" si="221"/>
        <v>0</v>
      </c>
      <c r="U310" s="436">
        <f t="shared" si="221"/>
        <v>12200</v>
      </c>
      <c r="V310" s="436">
        <f t="shared" si="221"/>
        <v>25400</v>
      </c>
      <c r="W310" s="436">
        <f>+W311+W312</f>
        <v>25400</v>
      </c>
      <c r="X310" s="436">
        <f t="shared" si="221"/>
        <v>0</v>
      </c>
      <c r="Y310" s="436">
        <f t="shared" si="221"/>
        <v>25400</v>
      </c>
      <c r="Z310" s="436">
        <f t="shared" si="221"/>
        <v>0</v>
      </c>
      <c r="AA310" s="436">
        <f t="shared" si="221"/>
        <v>0</v>
      </c>
      <c r="AB310" s="437"/>
      <c r="AC310" s="380">
        <f t="shared" si="203"/>
        <v>0</v>
      </c>
    </row>
    <row r="311" spans="1:36" s="8" customFormat="1" ht="93" customHeight="1">
      <c r="A311" s="621" t="s">
        <v>144</v>
      </c>
      <c r="B311" s="15" t="s">
        <v>578</v>
      </c>
      <c r="C311" s="15" t="s">
        <v>124</v>
      </c>
      <c r="D311" s="13">
        <v>7921958</v>
      </c>
      <c r="E311" s="622"/>
      <c r="F311" s="13" t="s">
        <v>579</v>
      </c>
      <c r="G311" s="13" t="s">
        <v>680</v>
      </c>
      <c r="H311" s="13" t="s">
        <v>127</v>
      </c>
      <c r="I311" s="13" t="s">
        <v>580</v>
      </c>
      <c r="J311" s="457">
        <f>K311+M311</f>
        <v>49609</v>
      </c>
      <c r="K311" s="12">
        <v>43383</v>
      </c>
      <c r="L311" s="12">
        <v>0</v>
      </c>
      <c r="M311" s="16">
        <v>6226</v>
      </c>
      <c r="N311" s="12">
        <f>O311+Q311</f>
        <v>28525</v>
      </c>
      <c r="O311" s="12">
        <v>27189</v>
      </c>
      <c r="P311" s="12">
        <v>0</v>
      </c>
      <c r="Q311" s="12">
        <v>1336</v>
      </c>
      <c r="R311" s="12">
        <f>S311+U311</f>
        <v>42296</v>
      </c>
      <c r="S311" s="12">
        <v>40096</v>
      </c>
      <c r="T311" s="12">
        <v>0</v>
      </c>
      <c r="U311" s="12">
        <v>2200</v>
      </c>
      <c r="V311" s="12">
        <v>300</v>
      </c>
      <c r="W311" s="12">
        <f>SUM(X311:AA311)</f>
        <v>300</v>
      </c>
      <c r="X311" s="12"/>
      <c r="Y311" s="12">
        <v>300</v>
      </c>
      <c r="Z311" s="12"/>
      <c r="AA311" s="12"/>
      <c r="AB311" s="91" t="s">
        <v>1622</v>
      </c>
      <c r="AC311" s="380">
        <f t="shared" si="203"/>
        <v>0</v>
      </c>
      <c r="AJ311" s="8" t="s">
        <v>685</v>
      </c>
    </row>
    <row r="312" spans="1:36" s="8" customFormat="1" ht="48" customHeight="1">
      <c r="A312" s="103" t="s">
        <v>144</v>
      </c>
      <c r="B312" s="101" t="s">
        <v>581</v>
      </c>
      <c r="C312" s="15"/>
      <c r="D312" s="623">
        <v>8134306</v>
      </c>
      <c r="E312" s="622"/>
      <c r="F312" s="21" t="s">
        <v>678</v>
      </c>
      <c r="G312" s="21" t="s">
        <v>186</v>
      </c>
      <c r="H312" s="20" t="s">
        <v>207</v>
      </c>
      <c r="I312" s="13" t="s">
        <v>582</v>
      </c>
      <c r="J312" s="17">
        <v>35100</v>
      </c>
      <c r="K312" s="17"/>
      <c r="L312" s="93"/>
      <c r="M312" s="17">
        <v>35100</v>
      </c>
      <c r="N312" s="17">
        <v>3825</v>
      </c>
      <c r="O312" s="93"/>
      <c r="P312" s="93"/>
      <c r="Q312" s="17">
        <v>3825</v>
      </c>
      <c r="R312" s="17">
        <v>10000</v>
      </c>
      <c r="S312" s="93"/>
      <c r="T312" s="93"/>
      <c r="U312" s="17">
        <v>10000</v>
      </c>
      <c r="V312" s="17">
        <v>25100</v>
      </c>
      <c r="W312" s="12">
        <f>SUM(X312:AA312)</f>
        <v>25100</v>
      </c>
      <c r="X312" s="12"/>
      <c r="Y312" s="12">
        <v>25100</v>
      </c>
      <c r="Z312" s="12"/>
      <c r="AA312" s="12"/>
      <c r="AB312" s="91" t="s">
        <v>1622</v>
      </c>
      <c r="AC312" s="380">
        <f t="shared" si="203"/>
        <v>0</v>
      </c>
      <c r="AJ312" s="8" t="s">
        <v>685</v>
      </c>
    </row>
    <row r="313" spans="1:36" s="417" customFormat="1" ht="28.5" customHeight="1">
      <c r="A313" s="327" t="s">
        <v>1306</v>
      </c>
      <c r="B313" s="413" t="s">
        <v>1307</v>
      </c>
      <c r="C313" s="15" t="s">
        <v>124</v>
      </c>
      <c r="D313" s="494"/>
      <c r="E313" s="494"/>
      <c r="F313" s="494"/>
      <c r="G313" s="494"/>
      <c r="H313" s="494"/>
      <c r="I313" s="327"/>
      <c r="J313" s="331"/>
      <c r="K313" s="331"/>
      <c r="L313" s="331"/>
      <c r="M313" s="331"/>
      <c r="N313" s="331"/>
      <c r="O313" s="331"/>
      <c r="P313" s="331"/>
      <c r="Q313" s="331"/>
      <c r="R313" s="331"/>
      <c r="S313" s="331"/>
      <c r="T313" s="331"/>
      <c r="U313" s="331"/>
      <c r="V313" s="331"/>
      <c r="W313" s="331"/>
      <c r="X313" s="331"/>
      <c r="Y313" s="331"/>
      <c r="Z313" s="331"/>
      <c r="AA313" s="331"/>
      <c r="AB313" s="332"/>
      <c r="AC313" s="380">
        <f t="shared" si="203"/>
        <v>0</v>
      </c>
    </row>
    <row r="314" spans="1:36" s="231" customFormat="1" ht="32.25" customHeight="1">
      <c r="A314" s="474">
        <v>2</v>
      </c>
      <c r="B314" s="624" t="s">
        <v>128</v>
      </c>
      <c r="C314" s="624" t="s">
        <v>128</v>
      </c>
      <c r="D314" s="624"/>
      <c r="E314" s="624"/>
      <c r="F314" s="14"/>
      <c r="G314" s="14"/>
      <c r="H314" s="14"/>
      <c r="I314" s="102"/>
      <c r="J314" s="14">
        <f t="shared" ref="J314:AA314" si="222">J315</f>
        <v>1723677</v>
      </c>
      <c r="K314" s="14">
        <f t="shared" si="222"/>
        <v>356626</v>
      </c>
      <c r="L314" s="14">
        <f t="shared" si="222"/>
        <v>818883</v>
      </c>
      <c r="M314" s="14">
        <f t="shared" si="222"/>
        <v>586168</v>
      </c>
      <c r="N314" s="14">
        <f t="shared" si="222"/>
        <v>666526</v>
      </c>
      <c r="O314" s="14">
        <f t="shared" si="222"/>
        <v>98240</v>
      </c>
      <c r="P314" s="14">
        <f t="shared" si="222"/>
        <v>273159</v>
      </c>
      <c r="Q314" s="14">
        <f t="shared" si="222"/>
        <v>295127</v>
      </c>
      <c r="R314" s="14">
        <f t="shared" si="222"/>
        <v>666526</v>
      </c>
      <c r="S314" s="14">
        <f t="shared" si="222"/>
        <v>98240</v>
      </c>
      <c r="T314" s="14">
        <f t="shared" si="222"/>
        <v>273159</v>
      </c>
      <c r="U314" s="14">
        <f t="shared" si="222"/>
        <v>295127</v>
      </c>
      <c r="V314" s="14">
        <f t="shared" si="222"/>
        <v>502500</v>
      </c>
      <c r="W314" s="14">
        <f t="shared" si="222"/>
        <v>205500</v>
      </c>
      <c r="X314" s="14">
        <f t="shared" si="222"/>
        <v>24000</v>
      </c>
      <c r="Y314" s="14">
        <f t="shared" si="222"/>
        <v>168000</v>
      </c>
      <c r="Z314" s="14">
        <f t="shared" si="222"/>
        <v>0</v>
      </c>
      <c r="AA314" s="14">
        <f t="shared" si="222"/>
        <v>13500</v>
      </c>
      <c r="AB314" s="102"/>
      <c r="AC314" s="380">
        <f t="shared" si="203"/>
        <v>13500</v>
      </c>
    </row>
    <row r="315" spans="1:36" s="10" customFormat="1" ht="22.5" customHeight="1">
      <c r="A315" s="393" t="s">
        <v>1287</v>
      </c>
      <c r="B315" s="394" t="s">
        <v>38</v>
      </c>
      <c r="C315" s="625" t="s">
        <v>128</v>
      </c>
      <c r="D315" s="394"/>
      <c r="E315" s="394"/>
      <c r="F315" s="436"/>
      <c r="G315" s="436"/>
      <c r="H315" s="436"/>
      <c r="I315" s="437"/>
      <c r="J315" s="436">
        <f t="shared" ref="J315:AA315" si="223">J317+J316+J322</f>
        <v>1723677</v>
      </c>
      <c r="K315" s="436">
        <f t="shared" si="223"/>
        <v>356626</v>
      </c>
      <c r="L315" s="436">
        <f t="shared" si="223"/>
        <v>818883</v>
      </c>
      <c r="M315" s="436">
        <f t="shared" si="223"/>
        <v>586168</v>
      </c>
      <c r="N315" s="436">
        <f t="shared" si="223"/>
        <v>666526</v>
      </c>
      <c r="O315" s="436">
        <f t="shared" si="223"/>
        <v>98240</v>
      </c>
      <c r="P315" s="436">
        <f t="shared" si="223"/>
        <v>273159</v>
      </c>
      <c r="Q315" s="436">
        <f t="shared" si="223"/>
        <v>295127</v>
      </c>
      <c r="R315" s="436">
        <f t="shared" si="223"/>
        <v>666526</v>
      </c>
      <c r="S315" s="436">
        <f t="shared" si="223"/>
        <v>98240</v>
      </c>
      <c r="T315" s="436">
        <f t="shared" si="223"/>
        <v>273159</v>
      </c>
      <c r="U315" s="436">
        <f t="shared" si="223"/>
        <v>295127</v>
      </c>
      <c r="V315" s="436">
        <f t="shared" si="223"/>
        <v>502500</v>
      </c>
      <c r="W315" s="436">
        <f t="shared" si="223"/>
        <v>205500</v>
      </c>
      <c r="X315" s="436">
        <f t="shared" si="223"/>
        <v>24000</v>
      </c>
      <c r="Y315" s="436">
        <f t="shared" si="223"/>
        <v>168000</v>
      </c>
      <c r="Z315" s="436">
        <f t="shared" si="223"/>
        <v>0</v>
      </c>
      <c r="AA315" s="436">
        <f t="shared" si="223"/>
        <v>13500</v>
      </c>
      <c r="AB315" s="437"/>
      <c r="AC315" s="380">
        <f t="shared" si="203"/>
        <v>13500</v>
      </c>
    </row>
    <row r="316" spans="1:36" s="10" customFormat="1" ht="39.75" customHeight="1">
      <c r="A316" s="332" t="s">
        <v>39</v>
      </c>
      <c r="B316" s="326" t="s">
        <v>1254</v>
      </c>
      <c r="C316" s="625" t="s">
        <v>128</v>
      </c>
      <c r="D316" s="554"/>
      <c r="E316" s="332"/>
      <c r="F316" s="471"/>
      <c r="G316" s="471"/>
      <c r="H316" s="332"/>
      <c r="I316" s="471"/>
      <c r="J316" s="331"/>
      <c r="K316" s="331"/>
      <c r="L316" s="331"/>
      <c r="M316" s="331"/>
      <c r="N316" s="331"/>
      <c r="O316" s="331"/>
      <c r="P316" s="331"/>
      <c r="Q316" s="331"/>
      <c r="R316" s="331"/>
      <c r="S316" s="331"/>
      <c r="T316" s="331"/>
      <c r="U316" s="331"/>
      <c r="V316" s="331"/>
      <c r="W316" s="331"/>
      <c r="X316" s="331"/>
      <c r="Y316" s="331"/>
      <c r="Z316" s="331"/>
      <c r="AA316" s="331"/>
      <c r="AB316" s="332"/>
      <c r="AC316" s="380">
        <f t="shared" si="203"/>
        <v>0</v>
      </c>
    </row>
    <row r="317" spans="1:36" s="10" customFormat="1" ht="48.75" customHeight="1">
      <c r="A317" s="397" t="s">
        <v>467</v>
      </c>
      <c r="B317" s="400" t="s">
        <v>56</v>
      </c>
      <c r="C317" s="625" t="s">
        <v>128</v>
      </c>
      <c r="D317" s="400"/>
      <c r="E317" s="400"/>
      <c r="F317" s="436"/>
      <c r="G317" s="436"/>
      <c r="H317" s="436"/>
      <c r="I317" s="437"/>
      <c r="J317" s="436">
        <f t="shared" ref="J317:AA317" si="224">SUM(J318:J321)</f>
        <v>1723677</v>
      </c>
      <c r="K317" s="436">
        <f t="shared" si="224"/>
        <v>356626</v>
      </c>
      <c r="L317" s="436">
        <f t="shared" si="224"/>
        <v>818883</v>
      </c>
      <c r="M317" s="436">
        <f t="shared" si="224"/>
        <v>586168</v>
      </c>
      <c r="N317" s="436">
        <f t="shared" si="224"/>
        <v>666526</v>
      </c>
      <c r="O317" s="436">
        <f t="shared" si="224"/>
        <v>98240</v>
      </c>
      <c r="P317" s="436">
        <f t="shared" si="224"/>
        <v>273159</v>
      </c>
      <c r="Q317" s="436">
        <f t="shared" si="224"/>
        <v>295127</v>
      </c>
      <c r="R317" s="436">
        <f t="shared" si="224"/>
        <v>666526</v>
      </c>
      <c r="S317" s="436">
        <f t="shared" si="224"/>
        <v>98240</v>
      </c>
      <c r="T317" s="436">
        <f t="shared" si="224"/>
        <v>273159</v>
      </c>
      <c r="U317" s="436">
        <f t="shared" si="224"/>
        <v>295127</v>
      </c>
      <c r="V317" s="436">
        <f t="shared" si="224"/>
        <v>502500</v>
      </c>
      <c r="W317" s="436">
        <f>SUM(W318:W321)</f>
        <v>205500</v>
      </c>
      <c r="X317" s="436">
        <f t="shared" si="224"/>
        <v>24000</v>
      </c>
      <c r="Y317" s="436">
        <f t="shared" si="224"/>
        <v>168000</v>
      </c>
      <c r="Z317" s="436">
        <f t="shared" si="224"/>
        <v>0</v>
      </c>
      <c r="AA317" s="436">
        <f t="shared" si="224"/>
        <v>13500</v>
      </c>
      <c r="AB317" s="437"/>
      <c r="AC317" s="380">
        <f t="shared" si="203"/>
        <v>13500</v>
      </c>
    </row>
    <row r="318" spans="1:36" s="8" customFormat="1" ht="75">
      <c r="A318" s="621" t="s">
        <v>144</v>
      </c>
      <c r="B318" s="25" t="s">
        <v>275</v>
      </c>
      <c r="C318" s="625" t="s">
        <v>128</v>
      </c>
      <c r="D318" s="316" t="s">
        <v>276</v>
      </c>
      <c r="E318" s="25"/>
      <c r="F318" s="433" t="s">
        <v>131</v>
      </c>
      <c r="G318" s="403" t="s">
        <v>176</v>
      </c>
      <c r="H318" s="404" t="s">
        <v>41</v>
      </c>
      <c r="I318" s="433" t="s">
        <v>132</v>
      </c>
      <c r="J318" s="12">
        <f>K318+L318+M318</f>
        <v>874082</v>
      </c>
      <c r="K318" s="12"/>
      <c r="L318" s="12">
        <v>519920</v>
      </c>
      <c r="M318" s="12">
        <f>874082-L318</f>
        <v>354162</v>
      </c>
      <c r="N318" s="12">
        <f>O318+P318+Q318</f>
        <v>473159</v>
      </c>
      <c r="O318" s="12"/>
      <c r="P318" s="12">
        <v>273159</v>
      </c>
      <c r="Q318" s="12">
        <v>200000</v>
      </c>
      <c r="R318" s="12">
        <f>S318+T318+U318</f>
        <v>473159</v>
      </c>
      <c r="S318" s="12"/>
      <c r="T318" s="12">
        <v>273159</v>
      </c>
      <c r="U318" s="12">
        <v>200000</v>
      </c>
      <c r="V318" s="407">
        <v>300000</v>
      </c>
      <c r="W318" s="12">
        <f>SUM(X318:AA318)</f>
        <v>100000</v>
      </c>
      <c r="X318" s="12"/>
      <c r="Y318" s="12">
        <v>100000</v>
      </c>
      <c r="Z318" s="12"/>
      <c r="AA318" s="12"/>
      <c r="AB318" s="91" t="s">
        <v>1639</v>
      </c>
      <c r="AC318" s="380">
        <f t="shared" si="203"/>
        <v>0</v>
      </c>
      <c r="AJ318" s="8" t="s">
        <v>685</v>
      </c>
    </row>
    <row r="319" spans="1:36" s="8" customFormat="1" ht="60">
      <c r="A319" s="621" t="s">
        <v>144</v>
      </c>
      <c r="B319" s="25" t="s">
        <v>129</v>
      </c>
      <c r="C319" s="625" t="s">
        <v>128</v>
      </c>
      <c r="D319" s="313">
        <v>7993768</v>
      </c>
      <c r="E319" s="25"/>
      <c r="F319" s="433" t="s">
        <v>133</v>
      </c>
      <c r="G319" s="403" t="s">
        <v>147</v>
      </c>
      <c r="H319" s="433" t="s">
        <v>53</v>
      </c>
      <c r="I319" s="433" t="s">
        <v>134</v>
      </c>
      <c r="J319" s="12">
        <f>K319+L319+M319</f>
        <v>249759</v>
      </c>
      <c r="K319" s="12"/>
      <c r="L319" s="12">
        <f>249759-40000</f>
        <v>209759</v>
      </c>
      <c r="M319" s="12">
        <v>40000</v>
      </c>
      <c r="N319" s="12">
        <f>+O319+P319+Q319</f>
        <v>4200</v>
      </c>
      <c r="O319" s="12"/>
      <c r="P319" s="12">
        <v>0</v>
      </c>
      <c r="Q319" s="12">
        <v>4200</v>
      </c>
      <c r="R319" s="12">
        <f>+S319+T319+U319</f>
        <v>4200</v>
      </c>
      <c r="S319" s="12"/>
      <c r="T319" s="12">
        <v>0</v>
      </c>
      <c r="U319" s="12">
        <v>4200</v>
      </c>
      <c r="V319" s="92">
        <f>97000+30000</f>
        <v>127000</v>
      </c>
      <c r="W319" s="12">
        <f t="shared" ref="W319:W321" si="225">SUM(X319:AA319)</f>
        <v>30000</v>
      </c>
      <c r="X319" s="12"/>
      <c r="Y319" s="12">
        <v>30000</v>
      </c>
      <c r="Z319" s="12"/>
      <c r="AA319" s="12"/>
      <c r="AB319" s="91" t="s">
        <v>1639</v>
      </c>
      <c r="AC319" s="380">
        <f t="shared" si="203"/>
        <v>0</v>
      </c>
      <c r="AJ319" s="8" t="s">
        <v>685</v>
      </c>
    </row>
    <row r="320" spans="1:36" s="8" customFormat="1" ht="60">
      <c r="A320" s="621" t="s">
        <v>144</v>
      </c>
      <c r="B320" s="544" t="s">
        <v>156</v>
      </c>
      <c r="C320" s="625" t="s">
        <v>128</v>
      </c>
      <c r="D320" s="544"/>
      <c r="E320" s="544"/>
      <c r="F320" s="433"/>
      <c r="G320" s="403"/>
      <c r="H320" s="433" t="s">
        <v>155</v>
      </c>
      <c r="I320" s="316" t="s">
        <v>157</v>
      </c>
      <c r="J320" s="12">
        <v>500635</v>
      </c>
      <c r="K320" s="12">
        <f>402868-U320-AA320+8563</f>
        <v>356626</v>
      </c>
      <c r="L320" s="12">
        <f>89204-Z320</f>
        <v>89204</v>
      </c>
      <c r="M320" s="12">
        <f>U320+W320</f>
        <v>92805</v>
      </c>
      <c r="N320" s="12">
        <f>O320+P320+Q320</f>
        <v>139545</v>
      </c>
      <c r="O320" s="12">
        <v>98240</v>
      </c>
      <c r="P320" s="12"/>
      <c r="Q320" s="12">
        <v>41305</v>
      </c>
      <c r="R320" s="12">
        <f>S320+T320+U320</f>
        <v>139545</v>
      </c>
      <c r="S320" s="12">
        <v>98240</v>
      </c>
      <c r="T320" s="12"/>
      <c r="U320" s="12">
        <v>41305</v>
      </c>
      <c r="V320" s="12">
        <v>51500</v>
      </c>
      <c r="W320" s="12">
        <f t="shared" si="225"/>
        <v>51500</v>
      </c>
      <c r="X320" s="12"/>
      <c r="Y320" s="12">
        <v>38000</v>
      </c>
      <c r="Z320" s="12"/>
      <c r="AA320" s="12">
        <v>13500</v>
      </c>
      <c r="AB320" s="91" t="s">
        <v>1622</v>
      </c>
      <c r="AC320" s="380">
        <f t="shared" si="203"/>
        <v>13500</v>
      </c>
      <c r="AJ320" s="8" t="s">
        <v>685</v>
      </c>
    </row>
    <row r="321" spans="1:36" s="8" customFormat="1" ht="49.5" customHeight="1">
      <c r="A321" s="430" t="s">
        <v>144</v>
      </c>
      <c r="B321" s="626" t="s">
        <v>277</v>
      </c>
      <c r="C321" s="625" t="s">
        <v>128</v>
      </c>
      <c r="D321" s="316" t="s">
        <v>278</v>
      </c>
      <c r="E321" s="626"/>
      <c r="F321" s="13" t="s">
        <v>679</v>
      </c>
      <c r="G321" s="13"/>
      <c r="H321" s="13" t="s">
        <v>49</v>
      </c>
      <c r="I321" s="13" t="s">
        <v>279</v>
      </c>
      <c r="J321" s="12">
        <f>K321+L321+M321</f>
        <v>99201</v>
      </c>
      <c r="K321" s="12"/>
      <c r="L321" s="12"/>
      <c r="M321" s="12">
        <v>99201</v>
      </c>
      <c r="N321" s="12">
        <f>O321+P321+Q321</f>
        <v>49622</v>
      </c>
      <c r="O321" s="12"/>
      <c r="P321" s="12"/>
      <c r="Q321" s="12">
        <v>49622</v>
      </c>
      <c r="R321" s="12">
        <f>S321+T321+U321</f>
        <v>49622</v>
      </c>
      <c r="S321" s="12"/>
      <c r="T321" s="12"/>
      <c r="U321" s="12">
        <v>49622</v>
      </c>
      <c r="V321" s="92">
        <v>24000</v>
      </c>
      <c r="W321" s="12">
        <f t="shared" si="225"/>
        <v>24000</v>
      </c>
      <c r="X321" s="12">
        <v>24000</v>
      </c>
      <c r="Y321" s="12"/>
      <c r="Z321" s="12"/>
      <c r="AA321" s="12"/>
      <c r="AB321" s="91" t="s">
        <v>1622</v>
      </c>
      <c r="AC321" s="380">
        <f t="shared" si="203"/>
        <v>0</v>
      </c>
      <c r="AJ321" s="8" t="s">
        <v>685</v>
      </c>
    </row>
    <row r="322" spans="1:36" s="417" customFormat="1" ht="28.5" customHeight="1">
      <c r="A322" s="327" t="s">
        <v>1306</v>
      </c>
      <c r="B322" s="413" t="s">
        <v>1307</v>
      </c>
      <c r="C322" s="625" t="s">
        <v>128</v>
      </c>
      <c r="D322" s="494"/>
      <c r="E322" s="494"/>
      <c r="F322" s="494"/>
      <c r="G322" s="494"/>
      <c r="H322" s="494"/>
      <c r="I322" s="327"/>
      <c r="J322" s="331"/>
      <c r="K322" s="331"/>
      <c r="L322" s="331"/>
      <c r="M322" s="331"/>
      <c r="N322" s="331"/>
      <c r="O322" s="331"/>
      <c r="P322" s="331"/>
      <c r="Q322" s="331"/>
      <c r="R322" s="331"/>
      <c r="S322" s="331"/>
      <c r="T322" s="331"/>
      <c r="U322" s="331"/>
      <c r="V322" s="331"/>
      <c r="W322" s="331"/>
      <c r="X322" s="331"/>
      <c r="Y322" s="331"/>
      <c r="Z322" s="331"/>
      <c r="AA322" s="331"/>
      <c r="AB322" s="332"/>
      <c r="AC322" s="380">
        <f t="shared" si="203"/>
        <v>0</v>
      </c>
    </row>
    <row r="323" spans="1:36" s="8" customFormat="1" ht="30.75" customHeight="1">
      <c r="A323" s="474">
        <v>3</v>
      </c>
      <c r="B323" s="317" t="s">
        <v>66</v>
      </c>
      <c r="C323" s="317" t="s">
        <v>66</v>
      </c>
      <c r="D323" s="317"/>
      <c r="E323" s="317"/>
      <c r="F323" s="320"/>
      <c r="G323" s="320"/>
      <c r="H323" s="320"/>
      <c r="I323" s="320"/>
      <c r="J323" s="14">
        <f t="shared" ref="J323:AA323" si="226">J324</f>
        <v>1229442</v>
      </c>
      <c r="K323" s="14">
        <f t="shared" si="226"/>
        <v>422458</v>
      </c>
      <c r="L323" s="14">
        <f t="shared" si="226"/>
        <v>382210</v>
      </c>
      <c r="M323" s="14">
        <f t="shared" si="226"/>
        <v>424774</v>
      </c>
      <c r="N323" s="14">
        <f t="shared" si="226"/>
        <v>70512</v>
      </c>
      <c r="O323" s="14">
        <f t="shared" si="226"/>
        <v>24522</v>
      </c>
      <c r="P323" s="14">
        <f t="shared" si="226"/>
        <v>41073</v>
      </c>
      <c r="Q323" s="14">
        <f t="shared" si="226"/>
        <v>4917</v>
      </c>
      <c r="R323" s="14">
        <f t="shared" si="226"/>
        <v>316073</v>
      </c>
      <c r="S323" s="14">
        <f t="shared" si="226"/>
        <v>275000</v>
      </c>
      <c r="T323" s="14">
        <f t="shared" si="226"/>
        <v>41073</v>
      </c>
      <c r="U323" s="14">
        <f t="shared" si="226"/>
        <v>0</v>
      </c>
      <c r="V323" s="14">
        <f t="shared" si="226"/>
        <v>1115180</v>
      </c>
      <c r="W323" s="14">
        <f t="shared" si="226"/>
        <v>111264</v>
      </c>
      <c r="X323" s="14">
        <f t="shared" si="226"/>
        <v>28000</v>
      </c>
      <c r="Y323" s="14">
        <f t="shared" si="226"/>
        <v>0</v>
      </c>
      <c r="Z323" s="14">
        <f t="shared" si="226"/>
        <v>0</v>
      </c>
      <c r="AA323" s="14">
        <f t="shared" si="226"/>
        <v>83264</v>
      </c>
      <c r="AB323" s="102"/>
      <c r="AC323" s="380">
        <f t="shared" si="203"/>
        <v>83264</v>
      </c>
    </row>
    <row r="324" spans="1:36" s="10" customFormat="1" ht="27.75" customHeight="1">
      <c r="A324" s="393" t="s">
        <v>1288</v>
      </c>
      <c r="B324" s="394" t="s">
        <v>38</v>
      </c>
      <c r="C324" s="15" t="s">
        <v>66</v>
      </c>
      <c r="D324" s="394"/>
      <c r="E324" s="394"/>
      <c r="F324" s="421"/>
      <c r="G324" s="421"/>
      <c r="H324" s="421"/>
      <c r="I324" s="421"/>
      <c r="J324" s="453">
        <f t="shared" ref="J324:AA324" si="227">+J326+J325+J329</f>
        <v>1229442</v>
      </c>
      <c r="K324" s="453">
        <f t="shared" si="227"/>
        <v>422458</v>
      </c>
      <c r="L324" s="453">
        <f t="shared" si="227"/>
        <v>382210</v>
      </c>
      <c r="M324" s="453">
        <f t="shared" si="227"/>
        <v>424774</v>
      </c>
      <c r="N324" s="453">
        <f t="shared" si="227"/>
        <v>70512</v>
      </c>
      <c r="O324" s="453">
        <f t="shared" si="227"/>
        <v>24522</v>
      </c>
      <c r="P324" s="453">
        <f t="shared" si="227"/>
        <v>41073</v>
      </c>
      <c r="Q324" s="453">
        <f t="shared" si="227"/>
        <v>4917</v>
      </c>
      <c r="R324" s="453">
        <f t="shared" si="227"/>
        <v>316073</v>
      </c>
      <c r="S324" s="453">
        <f t="shared" si="227"/>
        <v>275000</v>
      </c>
      <c r="T324" s="453">
        <f t="shared" si="227"/>
        <v>41073</v>
      </c>
      <c r="U324" s="453">
        <f t="shared" si="227"/>
        <v>0</v>
      </c>
      <c r="V324" s="453">
        <f t="shared" si="227"/>
        <v>1115180</v>
      </c>
      <c r="W324" s="453">
        <f t="shared" si="227"/>
        <v>111264</v>
      </c>
      <c r="X324" s="453">
        <f t="shared" si="227"/>
        <v>28000</v>
      </c>
      <c r="Y324" s="453">
        <f t="shared" si="227"/>
        <v>0</v>
      </c>
      <c r="Z324" s="453">
        <f t="shared" si="227"/>
        <v>0</v>
      </c>
      <c r="AA324" s="453">
        <f t="shared" si="227"/>
        <v>83264</v>
      </c>
      <c r="AB324" s="454"/>
      <c r="AC324" s="380">
        <f t="shared" si="203"/>
        <v>83264</v>
      </c>
    </row>
    <row r="325" spans="1:36" s="10" customFormat="1" ht="39.75" customHeight="1">
      <c r="A325" s="332" t="s">
        <v>39</v>
      </c>
      <c r="B325" s="326" t="s">
        <v>1254</v>
      </c>
      <c r="C325" s="15" t="s">
        <v>66</v>
      </c>
      <c r="D325" s="554"/>
      <c r="E325" s="332"/>
      <c r="F325" s="471"/>
      <c r="G325" s="471"/>
      <c r="H325" s="332"/>
      <c r="I325" s="471"/>
      <c r="J325" s="331"/>
      <c r="K325" s="331"/>
      <c r="L325" s="331"/>
      <c r="M325" s="331"/>
      <c r="N325" s="331"/>
      <c r="O325" s="331"/>
      <c r="P325" s="331"/>
      <c r="Q325" s="331"/>
      <c r="R325" s="331"/>
      <c r="S325" s="331"/>
      <c r="T325" s="331"/>
      <c r="U325" s="331"/>
      <c r="V325" s="331"/>
      <c r="W325" s="331"/>
      <c r="X325" s="331"/>
      <c r="Y325" s="331"/>
      <c r="Z325" s="331"/>
      <c r="AA325" s="331"/>
      <c r="AB325" s="332"/>
      <c r="AC325" s="380">
        <f t="shared" si="203"/>
        <v>0</v>
      </c>
    </row>
    <row r="326" spans="1:36" s="10" customFormat="1" ht="50.25" customHeight="1">
      <c r="A326" s="397" t="s">
        <v>467</v>
      </c>
      <c r="B326" s="400" t="s">
        <v>56</v>
      </c>
      <c r="C326" s="15" t="s">
        <v>66</v>
      </c>
      <c r="D326" s="400"/>
      <c r="E326" s="400"/>
      <c r="F326" s="328"/>
      <c r="G326" s="328"/>
      <c r="H326" s="328"/>
      <c r="I326" s="328"/>
      <c r="J326" s="436">
        <f t="shared" ref="J326:AA326" si="228">+SUM(J327:J328)</f>
        <v>1229442</v>
      </c>
      <c r="K326" s="436">
        <f t="shared" si="228"/>
        <v>422458</v>
      </c>
      <c r="L326" s="436">
        <f t="shared" si="228"/>
        <v>382210</v>
      </c>
      <c r="M326" s="436">
        <f t="shared" si="228"/>
        <v>424774</v>
      </c>
      <c r="N326" s="436">
        <f t="shared" si="228"/>
        <v>70512</v>
      </c>
      <c r="O326" s="436">
        <f t="shared" si="228"/>
        <v>24522</v>
      </c>
      <c r="P326" s="436">
        <f t="shared" si="228"/>
        <v>41073</v>
      </c>
      <c r="Q326" s="436">
        <f t="shared" si="228"/>
        <v>4917</v>
      </c>
      <c r="R326" s="436">
        <f t="shared" si="228"/>
        <v>316073</v>
      </c>
      <c r="S326" s="436">
        <f t="shared" si="228"/>
        <v>275000</v>
      </c>
      <c r="T326" s="436">
        <f t="shared" si="228"/>
        <v>41073</v>
      </c>
      <c r="U326" s="436">
        <f t="shared" si="228"/>
        <v>0</v>
      </c>
      <c r="V326" s="436">
        <f t="shared" si="228"/>
        <v>1115180</v>
      </c>
      <c r="W326" s="436">
        <f>+SUM(W327:W328)</f>
        <v>111264</v>
      </c>
      <c r="X326" s="436">
        <f t="shared" si="228"/>
        <v>28000</v>
      </c>
      <c r="Y326" s="436">
        <f t="shared" si="228"/>
        <v>0</v>
      </c>
      <c r="Z326" s="436">
        <f t="shared" si="228"/>
        <v>0</v>
      </c>
      <c r="AA326" s="436">
        <f t="shared" si="228"/>
        <v>83264</v>
      </c>
      <c r="AB326" s="437"/>
      <c r="AC326" s="380">
        <f t="shared" si="203"/>
        <v>83264</v>
      </c>
    </row>
    <row r="327" spans="1:36" s="8" customFormat="1" ht="210">
      <c r="A327" s="627" t="s">
        <v>144</v>
      </c>
      <c r="B327" s="622" t="s">
        <v>158</v>
      </c>
      <c r="C327" s="15" t="s">
        <v>66</v>
      </c>
      <c r="D327" s="622"/>
      <c r="E327" s="622"/>
      <c r="F327" s="37" t="s">
        <v>160</v>
      </c>
      <c r="G327" s="316" t="s">
        <v>167</v>
      </c>
      <c r="H327" s="13" t="s">
        <v>159</v>
      </c>
      <c r="I327" s="433" t="s">
        <v>161</v>
      </c>
      <c r="J327" s="38">
        <v>1159442</v>
      </c>
      <c r="K327" s="38">
        <v>422458</v>
      </c>
      <c r="L327" s="12">
        <v>340210</v>
      </c>
      <c r="M327" s="12">
        <v>396774</v>
      </c>
      <c r="N327" s="12">
        <f>O327+P327+Q327</f>
        <v>29439</v>
      </c>
      <c r="O327" s="12">
        <f>13591+10931</f>
        <v>24522</v>
      </c>
      <c r="P327" s="12"/>
      <c r="Q327" s="12">
        <v>4917</v>
      </c>
      <c r="R327" s="12">
        <f>S327+T327+U327</f>
        <v>275000</v>
      </c>
      <c r="S327" s="12">
        <v>275000</v>
      </c>
      <c r="T327" s="12"/>
      <c r="U327" s="14"/>
      <c r="V327" s="12">
        <v>1087180</v>
      </c>
      <c r="W327" s="12">
        <f>SUM(X327:AA327)</f>
        <v>83264</v>
      </c>
      <c r="X327" s="14"/>
      <c r="Y327" s="14"/>
      <c r="Z327" s="14"/>
      <c r="AA327" s="12">
        <v>83264</v>
      </c>
      <c r="AB327" s="91" t="s">
        <v>1639</v>
      </c>
      <c r="AC327" s="380">
        <f t="shared" si="203"/>
        <v>83264</v>
      </c>
      <c r="AJ327" s="8" t="s">
        <v>685</v>
      </c>
    </row>
    <row r="328" spans="1:36" s="8" customFormat="1" ht="67.5" customHeight="1">
      <c r="A328" s="627" t="s">
        <v>144</v>
      </c>
      <c r="B328" s="622" t="s">
        <v>682</v>
      </c>
      <c r="C328" s="15" t="s">
        <v>66</v>
      </c>
      <c r="D328" s="433"/>
      <c r="E328" s="433"/>
      <c r="F328" s="37" t="s">
        <v>683</v>
      </c>
      <c r="G328" s="316"/>
      <c r="H328" s="13">
        <v>2024</v>
      </c>
      <c r="I328" s="433" t="s">
        <v>684</v>
      </c>
      <c r="J328" s="38">
        <v>70000</v>
      </c>
      <c r="K328" s="38">
        <v>0</v>
      </c>
      <c r="L328" s="12">
        <f>70000-M328</f>
        <v>42000</v>
      </c>
      <c r="M328" s="12">
        <v>28000</v>
      </c>
      <c r="N328" s="12">
        <v>41073</v>
      </c>
      <c r="O328" s="12">
        <v>0</v>
      </c>
      <c r="P328" s="12">
        <v>41073</v>
      </c>
      <c r="Q328" s="14">
        <v>0</v>
      </c>
      <c r="R328" s="12">
        <v>41073</v>
      </c>
      <c r="S328" s="12">
        <v>0</v>
      </c>
      <c r="T328" s="12">
        <v>41073</v>
      </c>
      <c r="U328" s="14">
        <v>0</v>
      </c>
      <c r="V328" s="12">
        <v>28000</v>
      </c>
      <c r="W328" s="12">
        <f>SUM(X328:AA328)</f>
        <v>28000</v>
      </c>
      <c r="X328" s="12">
        <v>28000</v>
      </c>
      <c r="Y328" s="12"/>
      <c r="Z328" s="12"/>
      <c r="AA328" s="12"/>
      <c r="AB328" s="91" t="s">
        <v>1622</v>
      </c>
      <c r="AC328" s="380">
        <f t="shared" si="203"/>
        <v>0</v>
      </c>
      <c r="AJ328" s="8" t="s">
        <v>685</v>
      </c>
    </row>
    <row r="329" spans="1:36" s="417" customFormat="1" ht="28.5" customHeight="1">
      <c r="A329" s="327" t="s">
        <v>1306</v>
      </c>
      <c r="B329" s="413" t="s">
        <v>1307</v>
      </c>
      <c r="C329" s="15" t="s">
        <v>66</v>
      </c>
      <c r="D329" s="494"/>
      <c r="E329" s="494"/>
      <c r="F329" s="494"/>
      <c r="G329" s="494"/>
      <c r="H329" s="494"/>
      <c r="I329" s="327"/>
      <c r="J329" s="331"/>
      <c r="K329" s="331"/>
      <c r="L329" s="331"/>
      <c r="M329" s="331"/>
      <c r="N329" s="331"/>
      <c r="O329" s="331"/>
      <c r="P329" s="331"/>
      <c r="Q329" s="331"/>
      <c r="R329" s="331"/>
      <c r="S329" s="331"/>
      <c r="T329" s="331"/>
      <c r="U329" s="331"/>
      <c r="V329" s="331"/>
      <c r="W329" s="331"/>
      <c r="X329" s="331"/>
      <c r="Y329" s="331"/>
      <c r="Z329" s="331"/>
      <c r="AA329" s="331"/>
      <c r="AB329" s="332"/>
      <c r="AC329" s="380">
        <f t="shared" si="203"/>
        <v>0</v>
      </c>
    </row>
    <row r="330" spans="1:36" s="231" customFormat="1" ht="29.25" customHeight="1">
      <c r="A330" s="474">
        <v>4</v>
      </c>
      <c r="B330" s="317" t="s">
        <v>55</v>
      </c>
      <c r="C330" s="317" t="s">
        <v>55</v>
      </c>
      <c r="D330" s="317"/>
      <c r="E330" s="317"/>
      <c r="F330" s="628"/>
      <c r="G330" s="629"/>
      <c r="H330" s="320"/>
      <c r="I330" s="320"/>
      <c r="J330" s="630">
        <f t="shared" ref="J330:AA330" si="229">J331</f>
        <v>629785</v>
      </c>
      <c r="K330" s="630">
        <f t="shared" si="229"/>
        <v>303471</v>
      </c>
      <c r="L330" s="630">
        <f t="shared" si="229"/>
        <v>154837</v>
      </c>
      <c r="M330" s="630">
        <f t="shared" si="229"/>
        <v>171477</v>
      </c>
      <c r="N330" s="630">
        <f t="shared" si="229"/>
        <v>391587</v>
      </c>
      <c r="O330" s="630">
        <f t="shared" si="229"/>
        <v>244000</v>
      </c>
      <c r="P330" s="630">
        <f t="shared" si="229"/>
        <v>133855</v>
      </c>
      <c r="Q330" s="630">
        <f t="shared" si="229"/>
        <v>13687</v>
      </c>
      <c r="R330" s="630">
        <f t="shared" si="229"/>
        <v>147082</v>
      </c>
      <c r="S330" s="630">
        <f t="shared" si="229"/>
        <v>0</v>
      </c>
      <c r="T330" s="630">
        <f t="shared" si="229"/>
        <v>133855</v>
      </c>
      <c r="U330" s="630">
        <f t="shared" si="229"/>
        <v>13227</v>
      </c>
      <c r="V330" s="630">
        <f t="shared" si="229"/>
        <v>259973</v>
      </c>
      <c r="W330" s="630">
        <f t="shared" si="229"/>
        <v>23612</v>
      </c>
      <c r="X330" s="630">
        <f t="shared" si="229"/>
        <v>0</v>
      </c>
      <c r="Y330" s="630">
        <f t="shared" si="229"/>
        <v>5135</v>
      </c>
      <c r="Z330" s="630">
        <f t="shared" si="229"/>
        <v>0</v>
      </c>
      <c r="AA330" s="630">
        <f t="shared" si="229"/>
        <v>18477</v>
      </c>
      <c r="AB330" s="631"/>
      <c r="AC330" s="380">
        <f t="shared" si="203"/>
        <v>18477</v>
      </c>
    </row>
    <row r="331" spans="1:36" s="422" customFormat="1" ht="29.25" customHeight="1">
      <c r="A331" s="393" t="s">
        <v>1290</v>
      </c>
      <c r="B331" s="394" t="s">
        <v>38</v>
      </c>
      <c r="C331" s="15" t="s">
        <v>55</v>
      </c>
      <c r="D331" s="394"/>
      <c r="E331" s="394"/>
      <c r="F331" s="632"/>
      <c r="G331" s="633"/>
      <c r="H331" s="421"/>
      <c r="I331" s="421"/>
      <c r="J331" s="634">
        <f t="shared" ref="J331:AA331" si="230">J334+J332+J339</f>
        <v>629785</v>
      </c>
      <c r="K331" s="634">
        <f t="shared" si="230"/>
        <v>303471</v>
      </c>
      <c r="L331" s="634">
        <f t="shared" si="230"/>
        <v>154837</v>
      </c>
      <c r="M331" s="634">
        <f t="shared" si="230"/>
        <v>171477</v>
      </c>
      <c r="N331" s="634">
        <f t="shared" si="230"/>
        <v>391587</v>
      </c>
      <c r="O331" s="634">
        <f t="shared" si="230"/>
        <v>244000</v>
      </c>
      <c r="P331" s="634">
        <f t="shared" si="230"/>
        <v>133855</v>
      </c>
      <c r="Q331" s="634">
        <f t="shared" si="230"/>
        <v>13687</v>
      </c>
      <c r="R331" s="634">
        <f t="shared" si="230"/>
        <v>147082</v>
      </c>
      <c r="S331" s="634">
        <f t="shared" si="230"/>
        <v>0</v>
      </c>
      <c r="T331" s="634">
        <f t="shared" si="230"/>
        <v>133855</v>
      </c>
      <c r="U331" s="634">
        <f t="shared" si="230"/>
        <v>13227</v>
      </c>
      <c r="V331" s="634">
        <f t="shared" si="230"/>
        <v>259973</v>
      </c>
      <c r="W331" s="634">
        <f t="shared" si="230"/>
        <v>23612</v>
      </c>
      <c r="X331" s="634">
        <f t="shared" si="230"/>
        <v>0</v>
      </c>
      <c r="Y331" s="634">
        <f t="shared" si="230"/>
        <v>5135</v>
      </c>
      <c r="Z331" s="634">
        <f t="shared" si="230"/>
        <v>0</v>
      </c>
      <c r="AA331" s="634">
        <f t="shared" si="230"/>
        <v>18477</v>
      </c>
      <c r="AB331" s="635"/>
      <c r="AC331" s="380">
        <f t="shared" si="203"/>
        <v>18477</v>
      </c>
    </row>
    <row r="332" spans="1:36" s="10" customFormat="1" ht="39.75" customHeight="1">
      <c r="A332" s="332" t="s">
        <v>39</v>
      </c>
      <c r="B332" s="326" t="s">
        <v>1254</v>
      </c>
      <c r="C332" s="15" t="s">
        <v>55</v>
      </c>
      <c r="D332" s="554"/>
      <c r="E332" s="332"/>
      <c r="F332" s="471"/>
      <c r="G332" s="471"/>
      <c r="H332" s="332"/>
      <c r="I332" s="471"/>
      <c r="J332" s="331">
        <f>J333</f>
        <v>25000</v>
      </c>
      <c r="K332" s="331">
        <f t="shared" ref="K332:AA332" si="231">K333</f>
        <v>0</v>
      </c>
      <c r="L332" s="331">
        <f t="shared" si="231"/>
        <v>25000</v>
      </c>
      <c r="M332" s="331">
        <f t="shared" si="231"/>
        <v>0</v>
      </c>
      <c r="N332" s="331">
        <f t="shared" si="231"/>
        <v>23895</v>
      </c>
      <c r="O332" s="331">
        <f t="shared" si="231"/>
        <v>0</v>
      </c>
      <c r="P332" s="331">
        <f t="shared" si="231"/>
        <v>23500</v>
      </c>
      <c r="Q332" s="331">
        <f t="shared" si="231"/>
        <v>350</v>
      </c>
      <c r="R332" s="331">
        <f t="shared" si="231"/>
        <v>23850</v>
      </c>
      <c r="S332" s="331">
        <f t="shared" si="231"/>
        <v>0</v>
      </c>
      <c r="T332" s="331">
        <f t="shared" si="231"/>
        <v>23500</v>
      </c>
      <c r="U332" s="331">
        <f t="shared" si="231"/>
        <v>350</v>
      </c>
      <c r="V332" s="331">
        <f t="shared" si="231"/>
        <v>135</v>
      </c>
      <c r="W332" s="331">
        <f t="shared" si="231"/>
        <v>135</v>
      </c>
      <c r="X332" s="331">
        <f t="shared" si="231"/>
        <v>0</v>
      </c>
      <c r="Y332" s="331">
        <f t="shared" si="231"/>
        <v>135</v>
      </c>
      <c r="Z332" s="331">
        <f t="shared" si="231"/>
        <v>0</v>
      </c>
      <c r="AA332" s="331">
        <f t="shared" si="231"/>
        <v>0</v>
      </c>
      <c r="AB332" s="332"/>
      <c r="AC332" s="380">
        <f t="shared" si="203"/>
        <v>0</v>
      </c>
    </row>
    <row r="333" spans="1:36" s="8" customFormat="1" ht="69.75" customHeight="1">
      <c r="A333" s="627" t="s">
        <v>144</v>
      </c>
      <c r="B333" s="550" t="s">
        <v>691</v>
      </c>
      <c r="C333" s="15" t="s">
        <v>55</v>
      </c>
      <c r="D333" s="433">
        <v>7829956</v>
      </c>
      <c r="E333" s="433"/>
      <c r="F333" s="37" t="s">
        <v>688</v>
      </c>
      <c r="G333" s="316"/>
      <c r="H333" s="13" t="s">
        <v>692</v>
      </c>
      <c r="I333" s="13" t="s">
        <v>693</v>
      </c>
      <c r="J333" s="38">
        <v>25000</v>
      </c>
      <c r="K333" s="38"/>
      <c r="L333" s="12">
        <v>25000</v>
      </c>
      <c r="M333" s="14"/>
      <c r="N333" s="12">
        <v>23895</v>
      </c>
      <c r="O333" s="12"/>
      <c r="P333" s="12">
        <v>23500</v>
      </c>
      <c r="Q333" s="12">
        <v>350</v>
      </c>
      <c r="R333" s="12">
        <v>23850</v>
      </c>
      <c r="S333" s="14"/>
      <c r="T333" s="12">
        <v>23500</v>
      </c>
      <c r="U333" s="12">
        <v>350</v>
      </c>
      <c r="V333" s="407">
        <v>135</v>
      </c>
      <c r="W333" s="12">
        <f>SUM(X333:AA333)</f>
        <v>135</v>
      </c>
      <c r="X333" s="12"/>
      <c r="Y333" s="12">
        <v>135</v>
      </c>
      <c r="Z333" s="12"/>
      <c r="AA333" s="12"/>
      <c r="AB333" s="636" t="s">
        <v>1308</v>
      </c>
      <c r="AC333" s="380">
        <f t="shared" si="203"/>
        <v>0</v>
      </c>
      <c r="AJ333" s="555" t="s">
        <v>1308</v>
      </c>
    </row>
    <row r="334" spans="1:36" s="10" customFormat="1" ht="45">
      <c r="A334" s="397" t="s">
        <v>467</v>
      </c>
      <c r="B334" s="400" t="s">
        <v>56</v>
      </c>
      <c r="C334" s="15" t="s">
        <v>55</v>
      </c>
      <c r="D334" s="400"/>
      <c r="E334" s="400"/>
      <c r="F334" s="614"/>
      <c r="G334" s="448"/>
      <c r="H334" s="328"/>
      <c r="I334" s="328"/>
      <c r="J334" s="637">
        <f t="shared" ref="J334:AA334" si="232">J335+J338</f>
        <v>604785</v>
      </c>
      <c r="K334" s="637">
        <f t="shared" si="232"/>
        <v>303471</v>
      </c>
      <c r="L334" s="637">
        <f t="shared" si="232"/>
        <v>129837</v>
      </c>
      <c r="M334" s="637">
        <f t="shared" si="232"/>
        <v>171477</v>
      </c>
      <c r="N334" s="637">
        <f t="shared" si="232"/>
        <v>367692</v>
      </c>
      <c r="O334" s="637">
        <f t="shared" si="232"/>
        <v>244000</v>
      </c>
      <c r="P334" s="637">
        <f t="shared" si="232"/>
        <v>110355</v>
      </c>
      <c r="Q334" s="637">
        <f t="shared" si="232"/>
        <v>13337</v>
      </c>
      <c r="R334" s="637">
        <f t="shared" si="232"/>
        <v>123232</v>
      </c>
      <c r="S334" s="637">
        <f t="shared" si="232"/>
        <v>0</v>
      </c>
      <c r="T334" s="637">
        <f t="shared" si="232"/>
        <v>110355</v>
      </c>
      <c r="U334" s="637">
        <f t="shared" si="232"/>
        <v>12877</v>
      </c>
      <c r="V334" s="637">
        <f t="shared" si="232"/>
        <v>259838</v>
      </c>
      <c r="W334" s="637">
        <f>W335+W338</f>
        <v>23477</v>
      </c>
      <c r="X334" s="637">
        <f t="shared" si="232"/>
        <v>0</v>
      </c>
      <c r="Y334" s="637">
        <f t="shared" si="232"/>
        <v>5000</v>
      </c>
      <c r="Z334" s="637">
        <f t="shared" si="232"/>
        <v>0</v>
      </c>
      <c r="AA334" s="637">
        <f t="shared" si="232"/>
        <v>18477</v>
      </c>
      <c r="AB334" s="638"/>
      <c r="AC334" s="380">
        <f t="shared" si="203"/>
        <v>18477</v>
      </c>
    </row>
    <row r="335" spans="1:36" s="8" customFormat="1" ht="90">
      <c r="A335" s="627" t="s">
        <v>144</v>
      </c>
      <c r="B335" s="550" t="s">
        <v>148</v>
      </c>
      <c r="C335" s="15" t="s">
        <v>55</v>
      </c>
      <c r="D335" s="550"/>
      <c r="E335" s="550"/>
      <c r="F335" s="37"/>
      <c r="G335" s="316" t="s">
        <v>177</v>
      </c>
      <c r="H335" s="13" t="s">
        <v>154</v>
      </c>
      <c r="I335" s="433" t="s">
        <v>153</v>
      </c>
      <c r="J335" s="38">
        <f t="shared" ref="J335:R335" si="233">+J336+J337</f>
        <v>428246</v>
      </c>
      <c r="K335" s="38">
        <f t="shared" si="233"/>
        <v>303471</v>
      </c>
      <c r="L335" s="38">
        <f t="shared" si="233"/>
        <v>24000</v>
      </c>
      <c r="M335" s="38">
        <f t="shared" si="233"/>
        <v>100775</v>
      </c>
      <c r="N335" s="38">
        <f t="shared" si="233"/>
        <v>244000</v>
      </c>
      <c r="O335" s="38">
        <f t="shared" si="233"/>
        <v>244000</v>
      </c>
      <c r="P335" s="38">
        <f t="shared" si="233"/>
        <v>0</v>
      </c>
      <c r="Q335" s="38">
        <f t="shared" si="233"/>
        <v>0</v>
      </c>
      <c r="R335" s="38">
        <f t="shared" si="233"/>
        <v>0</v>
      </c>
      <c r="S335" s="38"/>
      <c r="T335" s="38">
        <f>+T336+T337</f>
        <v>0</v>
      </c>
      <c r="U335" s="38">
        <f>+U336+U337</f>
        <v>0</v>
      </c>
      <c r="V335" s="38">
        <f>+V336+V337</f>
        <v>202013</v>
      </c>
      <c r="W335" s="38">
        <f>+W336+W337</f>
        <v>18477</v>
      </c>
      <c r="X335" s="38">
        <f t="shared" ref="X335:AA335" si="234">+X336+X337</f>
        <v>0</v>
      </c>
      <c r="Y335" s="38">
        <f t="shared" si="234"/>
        <v>0</v>
      </c>
      <c r="Z335" s="38">
        <f t="shared" si="234"/>
        <v>0</v>
      </c>
      <c r="AA335" s="38">
        <f t="shared" si="234"/>
        <v>18477</v>
      </c>
      <c r="AB335" s="636" t="s">
        <v>1622</v>
      </c>
      <c r="AC335" s="380">
        <f t="shared" si="203"/>
        <v>18477</v>
      </c>
      <c r="AJ335" s="8" t="s">
        <v>685</v>
      </c>
    </row>
    <row r="336" spans="1:36" s="10" customFormat="1" ht="69.75" customHeight="1">
      <c r="A336" s="639" t="s">
        <v>502</v>
      </c>
      <c r="B336" s="640" t="s">
        <v>149</v>
      </c>
      <c r="C336" s="15" t="s">
        <v>55</v>
      </c>
      <c r="D336" s="640"/>
      <c r="E336" s="640"/>
      <c r="F336" s="614" t="s">
        <v>151</v>
      </c>
      <c r="G336" s="448"/>
      <c r="H336" s="328"/>
      <c r="I336" s="328"/>
      <c r="J336" s="637">
        <v>215200</v>
      </c>
      <c r="K336" s="637">
        <f>146559+40</f>
        <v>146599</v>
      </c>
      <c r="L336" s="436">
        <f>J336-K336-M336</f>
        <v>12427</v>
      </c>
      <c r="M336" s="436">
        <v>56174</v>
      </c>
      <c r="N336" s="436">
        <v>136750</v>
      </c>
      <c r="O336" s="436">
        <v>136750</v>
      </c>
      <c r="P336" s="436"/>
      <c r="Q336" s="453"/>
      <c r="R336" s="436"/>
      <c r="S336" s="453"/>
      <c r="T336" s="436"/>
      <c r="U336" s="453"/>
      <c r="V336" s="453">
        <v>77256</v>
      </c>
      <c r="W336" s="38">
        <f>SUM(X336:AA336)</f>
        <v>7897</v>
      </c>
      <c r="X336" s="453"/>
      <c r="Y336" s="453"/>
      <c r="Z336" s="453"/>
      <c r="AA336" s="436">
        <v>7897</v>
      </c>
      <c r="AB336" s="454"/>
      <c r="AC336" s="380">
        <f t="shared" si="203"/>
        <v>7897</v>
      </c>
    </row>
    <row r="337" spans="1:36" s="10" customFormat="1" ht="66" customHeight="1">
      <c r="A337" s="639" t="s">
        <v>502</v>
      </c>
      <c r="B337" s="640" t="s">
        <v>150</v>
      </c>
      <c r="C337" s="15" t="s">
        <v>55</v>
      </c>
      <c r="D337" s="640"/>
      <c r="E337" s="640"/>
      <c r="F337" s="614" t="s">
        <v>152</v>
      </c>
      <c r="G337" s="448"/>
      <c r="H337" s="328"/>
      <c r="I337" s="328"/>
      <c r="J337" s="637">
        <v>213046</v>
      </c>
      <c r="K337" s="637">
        <v>156872</v>
      </c>
      <c r="L337" s="436">
        <f>J337-K337-M337</f>
        <v>11573</v>
      </c>
      <c r="M337" s="637">
        <v>44601</v>
      </c>
      <c r="N337" s="436">
        <v>107250</v>
      </c>
      <c r="O337" s="436">
        <v>107250</v>
      </c>
      <c r="P337" s="436"/>
      <c r="Q337" s="453"/>
      <c r="R337" s="436"/>
      <c r="S337" s="453"/>
      <c r="T337" s="436"/>
      <c r="U337" s="453"/>
      <c r="V337" s="453">
        <v>124757</v>
      </c>
      <c r="W337" s="38">
        <f>SUM(X337:AA337)</f>
        <v>10580</v>
      </c>
      <c r="X337" s="453"/>
      <c r="Y337" s="453"/>
      <c r="Z337" s="453"/>
      <c r="AA337" s="12">
        <v>10580</v>
      </c>
      <c r="AB337" s="454"/>
      <c r="AC337" s="380">
        <f t="shared" si="203"/>
        <v>10580</v>
      </c>
    </row>
    <row r="338" spans="1:36" s="8" customFormat="1" ht="65.25" customHeight="1">
      <c r="A338" s="627" t="s">
        <v>144</v>
      </c>
      <c r="B338" s="550" t="s">
        <v>687</v>
      </c>
      <c r="C338" s="15" t="s">
        <v>55</v>
      </c>
      <c r="D338" s="433">
        <v>7728850</v>
      </c>
      <c r="E338" s="433"/>
      <c r="F338" s="37" t="s">
        <v>688</v>
      </c>
      <c r="G338" s="316" t="s">
        <v>689</v>
      </c>
      <c r="H338" s="13" t="s">
        <v>1861</v>
      </c>
      <c r="I338" s="13" t="s">
        <v>690</v>
      </c>
      <c r="J338" s="38">
        <v>176539</v>
      </c>
      <c r="K338" s="38"/>
      <c r="L338" s="12">
        <v>105837</v>
      </c>
      <c r="M338" s="12">
        <v>70702</v>
      </c>
      <c r="N338" s="12">
        <v>123692</v>
      </c>
      <c r="O338" s="12"/>
      <c r="P338" s="12">
        <v>110355</v>
      </c>
      <c r="Q338" s="12">
        <v>13337</v>
      </c>
      <c r="R338" s="12">
        <v>123232</v>
      </c>
      <c r="S338" s="14"/>
      <c r="T338" s="12">
        <v>110355</v>
      </c>
      <c r="U338" s="12">
        <v>12877</v>
      </c>
      <c r="V338" s="407">
        <v>57825</v>
      </c>
      <c r="W338" s="38">
        <f>SUM(X338:AA338)</f>
        <v>5000</v>
      </c>
      <c r="X338" s="12"/>
      <c r="Y338" s="12">
        <v>5000</v>
      </c>
      <c r="Z338" s="12"/>
      <c r="AA338" s="12"/>
      <c r="AB338" s="91" t="s">
        <v>1639</v>
      </c>
      <c r="AC338" s="380">
        <f t="shared" si="203"/>
        <v>0</v>
      </c>
      <c r="AJ338" s="8" t="s">
        <v>685</v>
      </c>
    </row>
    <row r="339" spans="1:36" s="417" customFormat="1" ht="33" customHeight="1">
      <c r="A339" s="327" t="s">
        <v>1306</v>
      </c>
      <c r="B339" s="413" t="s">
        <v>1307</v>
      </c>
      <c r="C339" s="15" t="s">
        <v>55</v>
      </c>
      <c r="D339" s="494"/>
      <c r="E339" s="494"/>
      <c r="F339" s="494"/>
      <c r="G339" s="494"/>
      <c r="H339" s="494"/>
      <c r="I339" s="327"/>
      <c r="J339" s="331"/>
      <c r="K339" s="331"/>
      <c r="L339" s="331"/>
      <c r="M339" s="331"/>
      <c r="N339" s="331"/>
      <c r="O339" s="331"/>
      <c r="P339" s="331"/>
      <c r="Q339" s="331"/>
      <c r="R339" s="331"/>
      <c r="S339" s="331"/>
      <c r="T339" s="331"/>
      <c r="U339" s="331"/>
      <c r="V339" s="331"/>
      <c r="W339" s="331"/>
      <c r="X339" s="331"/>
      <c r="Y339" s="331"/>
      <c r="Z339" s="331"/>
      <c r="AA339" s="331"/>
      <c r="AB339" s="332"/>
      <c r="AC339" s="380">
        <f t="shared" si="203"/>
        <v>0</v>
      </c>
    </row>
    <row r="340" spans="1:36" s="8" customFormat="1" ht="42.75">
      <c r="A340" s="474">
        <v>5</v>
      </c>
      <c r="B340" s="317" t="s">
        <v>80</v>
      </c>
      <c r="C340" s="317" t="s">
        <v>80</v>
      </c>
      <c r="D340" s="317"/>
      <c r="E340" s="317"/>
      <c r="F340" s="37"/>
      <c r="G340" s="320"/>
      <c r="H340" s="320"/>
      <c r="I340" s="320"/>
      <c r="J340" s="14">
        <f t="shared" ref="J340:AA340" si="235">J341</f>
        <v>94878</v>
      </c>
      <c r="K340" s="14">
        <f t="shared" si="235"/>
        <v>0</v>
      </c>
      <c r="L340" s="14">
        <f t="shared" si="235"/>
        <v>52159</v>
      </c>
      <c r="M340" s="14">
        <f t="shared" si="235"/>
        <v>42719</v>
      </c>
      <c r="N340" s="14">
        <f t="shared" si="235"/>
        <v>69000</v>
      </c>
      <c r="O340" s="14">
        <f t="shared" si="235"/>
        <v>0</v>
      </c>
      <c r="P340" s="14">
        <f t="shared" si="235"/>
        <v>50000</v>
      </c>
      <c r="Q340" s="14">
        <f t="shared" si="235"/>
        <v>19000</v>
      </c>
      <c r="R340" s="14">
        <f t="shared" si="235"/>
        <v>60071</v>
      </c>
      <c r="S340" s="14">
        <f t="shared" si="235"/>
        <v>0</v>
      </c>
      <c r="T340" s="14">
        <f t="shared" si="235"/>
        <v>50000</v>
      </c>
      <c r="U340" s="14">
        <f t="shared" si="235"/>
        <v>10071</v>
      </c>
      <c r="V340" s="14">
        <f t="shared" si="235"/>
        <v>8929</v>
      </c>
      <c r="W340" s="14">
        <f t="shared" si="235"/>
        <v>8929</v>
      </c>
      <c r="X340" s="14">
        <f t="shared" si="235"/>
        <v>8929</v>
      </c>
      <c r="Y340" s="14">
        <f t="shared" si="235"/>
        <v>0</v>
      </c>
      <c r="Z340" s="14">
        <f t="shared" si="235"/>
        <v>0</v>
      </c>
      <c r="AA340" s="14">
        <f t="shared" si="235"/>
        <v>0</v>
      </c>
      <c r="AB340" s="102"/>
      <c r="AC340" s="380">
        <f t="shared" si="203"/>
        <v>0</v>
      </c>
    </row>
    <row r="341" spans="1:36" s="10" customFormat="1" ht="23.25" customHeight="1">
      <c r="A341" s="393" t="s">
        <v>1309</v>
      </c>
      <c r="B341" s="394" t="s">
        <v>38</v>
      </c>
      <c r="C341" s="15" t="s">
        <v>80</v>
      </c>
      <c r="D341" s="394"/>
      <c r="E341" s="394"/>
      <c r="F341" s="421"/>
      <c r="G341" s="421"/>
      <c r="H341" s="421"/>
      <c r="I341" s="421"/>
      <c r="J341" s="453">
        <f t="shared" ref="J341:AA341" si="236">J343+J342+J346</f>
        <v>94878</v>
      </c>
      <c r="K341" s="453">
        <f t="shared" si="236"/>
        <v>0</v>
      </c>
      <c r="L341" s="453">
        <f t="shared" si="236"/>
        <v>52159</v>
      </c>
      <c r="M341" s="453">
        <f t="shared" si="236"/>
        <v>42719</v>
      </c>
      <c r="N341" s="453">
        <f t="shared" si="236"/>
        <v>69000</v>
      </c>
      <c r="O341" s="453">
        <f t="shared" si="236"/>
        <v>0</v>
      </c>
      <c r="P341" s="453">
        <f t="shared" si="236"/>
        <v>50000</v>
      </c>
      <c r="Q341" s="453">
        <f t="shared" si="236"/>
        <v>19000</v>
      </c>
      <c r="R341" s="453">
        <f t="shared" si="236"/>
        <v>60071</v>
      </c>
      <c r="S341" s="453">
        <f t="shared" si="236"/>
        <v>0</v>
      </c>
      <c r="T341" s="453">
        <f t="shared" si="236"/>
        <v>50000</v>
      </c>
      <c r="U341" s="453">
        <f t="shared" si="236"/>
        <v>10071</v>
      </c>
      <c r="V341" s="453">
        <f t="shared" si="236"/>
        <v>8929</v>
      </c>
      <c r="W341" s="453">
        <f t="shared" si="236"/>
        <v>8929</v>
      </c>
      <c r="X341" s="453">
        <f t="shared" si="236"/>
        <v>8929</v>
      </c>
      <c r="Y341" s="453">
        <f t="shared" si="236"/>
        <v>0</v>
      </c>
      <c r="Z341" s="453">
        <f t="shared" si="236"/>
        <v>0</v>
      </c>
      <c r="AA341" s="453">
        <f t="shared" si="236"/>
        <v>0</v>
      </c>
      <c r="AB341" s="454"/>
      <c r="AC341" s="380">
        <f t="shared" si="203"/>
        <v>0</v>
      </c>
    </row>
    <row r="342" spans="1:36" s="10" customFormat="1" ht="39.75" customHeight="1">
      <c r="A342" s="332" t="s">
        <v>39</v>
      </c>
      <c r="B342" s="326" t="s">
        <v>1254</v>
      </c>
      <c r="C342" s="15" t="s">
        <v>80</v>
      </c>
      <c r="D342" s="554"/>
      <c r="E342" s="332"/>
      <c r="F342" s="471"/>
      <c r="G342" s="471"/>
      <c r="H342" s="332"/>
      <c r="I342" s="471"/>
      <c r="J342" s="331"/>
      <c r="K342" s="331"/>
      <c r="L342" s="331"/>
      <c r="M342" s="331"/>
      <c r="N342" s="331"/>
      <c r="O342" s="331"/>
      <c r="P342" s="331"/>
      <c r="Q342" s="331"/>
      <c r="R342" s="331"/>
      <c r="S342" s="331"/>
      <c r="T342" s="331"/>
      <c r="U342" s="331"/>
      <c r="V342" s="331"/>
      <c r="W342" s="331"/>
      <c r="X342" s="331"/>
      <c r="Y342" s="331"/>
      <c r="Z342" s="331"/>
      <c r="AA342" s="331"/>
      <c r="AB342" s="332"/>
      <c r="AC342" s="380">
        <f t="shared" si="203"/>
        <v>0</v>
      </c>
    </row>
    <row r="343" spans="1:36" s="10" customFormat="1" ht="45">
      <c r="A343" s="397" t="s">
        <v>467</v>
      </c>
      <c r="B343" s="400" t="s">
        <v>56</v>
      </c>
      <c r="C343" s="15" t="s">
        <v>80</v>
      </c>
      <c r="D343" s="400"/>
      <c r="E343" s="400"/>
      <c r="F343" s="614"/>
      <c r="G343" s="328"/>
      <c r="H343" s="328"/>
      <c r="I343" s="328"/>
      <c r="J343" s="436">
        <f>+J344+J345</f>
        <v>94878</v>
      </c>
      <c r="K343" s="436">
        <f t="shared" ref="K343:AA343" si="237">+K344+K345</f>
        <v>0</v>
      </c>
      <c r="L343" s="436">
        <f t="shared" si="237"/>
        <v>52159</v>
      </c>
      <c r="M343" s="436">
        <f t="shared" si="237"/>
        <v>42719</v>
      </c>
      <c r="N343" s="436">
        <f t="shared" si="237"/>
        <v>69000</v>
      </c>
      <c r="O343" s="436">
        <f t="shared" si="237"/>
        <v>0</v>
      </c>
      <c r="P343" s="436">
        <f t="shared" si="237"/>
        <v>50000</v>
      </c>
      <c r="Q343" s="436">
        <f t="shared" si="237"/>
        <v>19000</v>
      </c>
      <c r="R343" s="436">
        <f t="shared" si="237"/>
        <v>60071</v>
      </c>
      <c r="S343" s="436">
        <f t="shared" si="237"/>
        <v>0</v>
      </c>
      <c r="T343" s="436">
        <f t="shared" si="237"/>
        <v>50000</v>
      </c>
      <c r="U343" s="436">
        <f t="shared" si="237"/>
        <v>10071</v>
      </c>
      <c r="V343" s="436">
        <f t="shared" si="237"/>
        <v>8929</v>
      </c>
      <c r="W343" s="436">
        <f>+W344+W345</f>
        <v>8929</v>
      </c>
      <c r="X343" s="436">
        <f t="shared" si="237"/>
        <v>8929</v>
      </c>
      <c r="Y343" s="436">
        <f t="shared" si="237"/>
        <v>0</v>
      </c>
      <c r="Z343" s="436">
        <f t="shared" si="237"/>
        <v>0</v>
      </c>
      <c r="AA343" s="436">
        <f t="shared" si="237"/>
        <v>0</v>
      </c>
      <c r="AB343" s="437"/>
      <c r="AC343" s="380">
        <f t="shared" si="203"/>
        <v>0</v>
      </c>
    </row>
    <row r="344" spans="1:36" s="8" customFormat="1" ht="60">
      <c r="A344" s="430" t="s">
        <v>144</v>
      </c>
      <c r="B344" s="544" t="s">
        <v>1269</v>
      </c>
      <c r="C344" s="15" t="s">
        <v>80</v>
      </c>
      <c r="D344" s="350">
        <v>7878457</v>
      </c>
      <c r="E344" s="42"/>
      <c r="F344" s="404" t="s">
        <v>115</v>
      </c>
      <c r="G344" s="316" t="s">
        <v>186</v>
      </c>
      <c r="H344" s="641" t="s">
        <v>122</v>
      </c>
      <c r="I344" s="21" t="s">
        <v>1270</v>
      </c>
      <c r="J344" s="17">
        <v>16723</v>
      </c>
      <c r="K344" s="38"/>
      <c r="L344" s="12"/>
      <c r="M344" s="17">
        <v>16723</v>
      </c>
      <c r="N344" s="12">
        <f>Q344</f>
        <v>16050</v>
      </c>
      <c r="O344" s="12"/>
      <c r="P344" s="12"/>
      <c r="Q344" s="12">
        <v>16050</v>
      </c>
      <c r="R344" s="12">
        <f>S344+T344+U344</f>
        <v>10071</v>
      </c>
      <c r="S344" s="12"/>
      <c r="T344" s="12"/>
      <c r="U344" s="12">
        <v>10071</v>
      </c>
      <c r="V344" s="496">
        <v>5979</v>
      </c>
      <c r="W344" s="44">
        <f>SUM(X344:AA344)</f>
        <v>5979</v>
      </c>
      <c r="X344" s="44">
        <v>5979</v>
      </c>
      <c r="Y344" s="44"/>
      <c r="Z344" s="44"/>
      <c r="AA344" s="44"/>
      <c r="AB344" s="636" t="s">
        <v>1622</v>
      </c>
      <c r="AC344" s="380">
        <f t="shared" ref="AC344:AC407" si="238">+W344-X344-Y344-Z344</f>
        <v>0</v>
      </c>
      <c r="AJ344" s="8" t="s">
        <v>685</v>
      </c>
    </row>
    <row r="345" spans="1:36" s="8" customFormat="1" ht="76.5" customHeight="1">
      <c r="A345" s="430" t="s">
        <v>144</v>
      </c>
      <c r="B345" s="42" t="s">
        <v>1284</v>
      </c>
      <c r="C345" s="15" t="s">
        <v>80</v>
      </c>
      <c r="D345" s="20"/>
      <c r="E345" s="20"/>
      <c r="F345" s="349" t="s">
        <v>1282</v>
      </c>
      <c r="G345" s="13"/>
      <c r="H345" s="433"/>
      <c r="I345" s="497" t="s">
        <v>1285</v>
      </c>
      <c r="J345" s="12">
        <v>78155</v>
      </c>
      <c r="K345" s="14"/>
      <c r="L345" s="19">
        <v>52159</v>
      </c>
      <c r="M345" s="19">
        <f>J345-L345</f>
        <v>25996</v>
      </c>
      <c r="N345" s="407">
        <f>SUM(O345:Q345)</f>
        <v>52950</v>
      </c>
      <c r="O345" s="14"/>
      <c r="P345" s="407">
        <v>50000</v>
      </c>
      <c r="Q345" s="407">
        <v>2950</v>
      </c>
      <c r="R345" s="407">
        <f>S345+T345+U345</f>
        <v>50000</v>
      </c>
      <c r="S345" s="14"/>
      <c r="T345" s="407">
        <v>50000</v>
      </c>
      <c r="U345" s="407"/>
      <c r="V345" s="496">
        <v>2950</v>
      </c>
      <c r="W345" s="44">
        <f>SUM(X345:AA345)</f>
        <v>2950</v>
      </c>
      <c r="X345" s="44">
        <v>2950</v>
      </c>
      <c r="Y345" s="44"/>
      <c r="Z345" s="44"/>
      <c r="AA345" s="44"/>
      <c r="AB345" s="636" t="s">
        <v>1622</v>
      </c>
      <c r="AC345" s="380">
        <f t="shared" si="238"/>
        <v>0</v>
      </c>
      <c r="AJ345" s="8" t="s">
        <v>685</v>
      </c>
    </row>
    <row r="346" spans="1:36" s="417" customFormat="1" ht="28.5" customHeight="1">
      <c r="A346" s="327" t="s">
        <v>1306</v>
      </c>
      <c r="B346" s="413" t="s">
        <v>1307</v>
      </c>
      <c r="C346" s="15" t="s">
        <v>80</v>
      </c>
      <c r="D346" s="494"/>
      <c r="E346" s="494"/>
      <c r="F346" s="494"/>
      <c r="G346" s="494"/>
      <c r="H346" s="494"/>
      <c r="I346" s="327"/>
      <c r="J346" s="331"/>
      <c r="K346" s="331"/>
      <c r="L346" s="331"/>
      <c r="M346" s="331"/>
      <c r="N346" s="331"/>
      <c r="O346" s="331"/>
      <c r="P346" s="331"/>
      <c r="Q346" s="331"/>
      <c r="R346" s="331"/>
      <c r="S346" s="331"/>
      <c r="T346" s="331"/>
      <c r="U346" s="331"/>
      <c r="V346" s="331"/>
      <c r="W346" s="331"/>
      <c r="X346" s="331"/>
      <c r="Y346" s="331"/>
      <c r="Z346" s="331"/>
      <c r="AA346" s="331"/>
      <c r="AB346" s="332"/>
      <c r="AC346" s="380">
        <f t="shared" si="238"/>
        <v>0</v>
      </c>
    </row>
    <row r="347" spans="1:36" s="231" customFormat="1" ht="42.75">
      <c r="A347" s="426" t="s">
        <v>1310</v>
      </c>
      <c r="B347" s="642" t="s">
        <v>315</v>
      </c>
      <c r="C347" s="642" t="s">
        <v>315</v>
      </c>
      <c r="D347" s="312"/>
      <c r="E347" s="312"/>
      <c r="F347" s="628"/>
      <c r="G347" s="629"/>
      <c r="H347" s="320"/>
      <c r="I347" s="320"/>
      <c r="J347" s="630">
        <f t="shared" ref="J347:AA347" si="239">+J348</f>
        <v>29661</v>
      </c>
      <c r="K347" s="630">
        <f t="shared" si="239"/>
        <v>0</v>
      </c>
      <c r="L347" s="630">
        <f t="shared" si="239"/>
        <v>0</v>
      </c>
      <c r="M347" s="630">
        <f t="shared" si="239"/>
        <v>29661</v>
      </c>
      <c r="N347" s="630">
        <f t="shared" si="239"/>
        <v>15388</v>
      </c>
      <c r="O347" s="630">
        <f t="shared" si="239"/>
        <v>0</v>
      </c>
      <c r="P347" s="630">
        <f t="shared" si="239"/>
        <v>0</v>
      </c>
      <c r="Q347" s="630">
        <f t="shared" si="239"/>
        <v>15388</v>
      </c>
      <c r="R347" s="630">
        <f t="shared" si="239"/>
        <v>21262</v>
      </c>
      <c r="S347" s="630">
        <f t="shared" si="239"/>
        <v>0</v>
      </c>
      <c r="T347" s="630">
        <f t="shared" si="239"/>
        <v>0</v>
      </c>
      <c r="U347" s="630">
        <f t="shared" si="239"/>
        <v>21262</v>
      </c>
      <c r="V347" s="630">
        <f t="shared" si="239"/>
        <v>5874</v>
      </c>
      <c r="W347" s="630">
        <f t="shared" si="239"/>
        <v>5874</v>
      </c>
      <c r="X347" s="630">
        <f t="shared" si="239"/>
        <v>0</v>
      </c>
      <c r="Y347" s="630">
        <f t="shared" si="239"/>
        <v>0</v>
      </c>
      <c r="Z347" s="630">
        <f t="shared" si="239"/>
        <v>5874</v>
      </c>
      <c r="AA347" s="630">
        <f t="shared" si="239"/>
        <v>0</v>
      </c>
      <c r="AB347" s="631"/>
      <c r="AC347" s="380">
        <f t="shared" si="238"/>
        <v>0</v>
      </c>
    </row>
    <row r="348" spans="1:36" s="10" customFormat="1" ht="20.25" customHeight="1">
      <c r="A348" s="393" t="s">
        <v>1311</v>
      </c>
      <c r="B348" s="394" t="s">
        <v>38</v>
      </c>
      <c r="C348" s="25" t="s">
        <v>315</v>
      </c>
      <c r="D348" s="421"/>
      <c r="E348" s="421"/>
      <c r="F348" s="421"/>
      <c r="G348" s="421"/>
      <c r="H348" s="421"/>
      <c r="I348" s="421"/>
      <c r="J348" s="453">
        <f t="shared" ref="J348:AA348" si="240">+J350+J349+J352</f>
        <v>29661</v>
      </c>
      <c r="K348" s="453">
        <f t="shared" si="240"/>
        <v>0</v>
      </c>
      <c r="L348" s="453">
        <f t="shared" si="240"/>
        <v>0</v>
      </c>
      <c r="M348" s="453">
        <f t="shared" si="240"/>
        <v>29661</v>
      </c>
      <c r="N348" s="453">
        <f t="shared" si="240"/>
        <v>15388</v>
      </c>
      <c r="O348" s="453">
        <f t="shared" si="240"/>
        <v>0</v>
      </c>
      <c r="P348" s="453">
        <f t="shared" si="240"/>
        <v>0</v>
      </c>
      <c r="Q348" s="453">
        <f t="shared" si="240"/>
        <v>15388</v>
      </c>
      <c r="R348" s="453">
        <f t="shared" si="240"/>
        <v>21262</v>
      </c>
      <c r="S348" s="453">
        <f t="shared" si="240"/>
        <v>0</v>
      </c>
      <c r="T348" s="453">
        <f t="shared" si="240"/>
        <v>0</v>
      </c>
      <c r="U348" s="453">
        <f t="shared" si="240"/>
        <v>21262</v>
      </c>
      <c r="V348" s="453">
        <f t="shared" si="240"/>
        <v>5874</v>
      </c>
      <c r="W348" s="453">
        <f t="shared" si="240"/>
        <v>5874</v>
      </c>
      <c r="X348" s="453">
        <f t="shared" si="240"/>
        <v>0</v>
      </c>
      <c r="Y348" s="453">
        <f t="shared" si="240"/>
        <v>0</v>
      </c>
      <c r="Z348" s="453">
        <f t="shared" si="240"/>
        <v>5874</v>
      </c>
      <c r="AA348" s="453">
        <f t="shared" si="240"/>
        <v>0</v>
      </c>
      <c r="AB348" s="454"/>
      <c r="AC348" s="380">
        <f t="shared" si="238"/>
        <v>0</v>
      </c>
    </row>
    <row r="349" spans="1:36" s="10" customFormat="1" ht="39.75" customHeight="1">
      <c r="A349" s="332" t="s">
        <v>39</v>
      </c>
      <c r="B349" s="326" t="s">
        <v>1254</v>
      </c>
      <c r="C349" s="25" t="s">
        <v>315</v>
      </c>
      <c r="D349" s="554"/>
      <c r="E349" s="332"/>
      <c r="F349" s="471"/>
      <c r="G349" s="471"/>
      <c r="H349" s="332"/>
      <c r="I349" s="471"/>
      <c r="J349" s="331"/>
      <c r="K349" s="331"/>
      <c r="L349" s="331"/>
      <c r="M349" s="331"/>
      <c r="N349" s="331"/>
      <c r="O349" s="331"/>
      <c r="P349" s="331"/>
      <c r="Q349" s="331"/>
      <c r="R349" s="331"/>
      <c r="S349" s="331"/>
      <c r="T349" s="331"/>
      <c r="U349" s="331"/>
      <c r="V349" s="331"/>
      <c r="W349" s="331"/>
      <c r="X349" s="331"/>
      <c r="Y349" s="331"/>
      <c r="Z349" s="331"/>
      <c r="AA349" s="331"/>
      <c r="AB349" s="332"/>
      <c r="AC349" s="380">
        <f t="shared" si="238"/>
        <v>0</v>
      </c>
    </row>
    <row r="350" spans="1:36" s="10" customFormat="1" ht="53.25" customHeight="1">
      <c r="A350" s="397" t="s">
        <v>467</v>
      </c>
      <c r="B350" s="400" t="s">
        <v>183</v>
      </c>
      <c r="C350" s="25" t="s">
        <v>315</v>
      </c>
      <c r="D350" s="435"/>
      <c r="E350" s="435"/>
      <c r="F350" s="328"/>
      <c r="G350" s="328"/>
      <c r="H350" s="328"/>
      <c r="I350" s="328"/>
      <c r="J350" s="436">
        <f t="shared" ref="J350:AA350" si="241">+J351</f>
        <v>29661</v>
      </c>
      <c r="K350" s="436">
        <f t="shared" si="241"/>
        <v>0</v>
      </c>
      <c r="L350" s="436">
        <f t="shared" si="241"/>
        <v>0</v>
      </c>
      <c r="M350" s="436">
        <f t="shared" si="241"/>
        <v>29661</v>
      </c>
      <c r="N350" s="436">
        <f t="shared" si="241"/>
        <v>15388</v>
      </c>
      <c r="O350" s="436">
        <f t="shared" si="241"/>
        <v>0</v>
      </c>
      <c r="P350" s="436">
        <f t="shared" si="241"/>
        <v>0</v>
      </c>
      <c r="Q350" s="436">
        <f t="shared" si="241"/>
        <v>15388</v>
      </c>
      <c r="R350" s="436">
        <f t="shared" si="241"/>
        <v>21262</v>
      </c>
      <c r="S350" s="436">
        <f t="shared" si="241"/>
        <v>0</v>
      </c>
      <c r="T350" s="436">
        <f t="shared" si="241"/>
        <v>0</v>
      </c>
      <c r="U350" s="436">
        <f t="shared" si="241"/>
        <v>21262</v>
      </c>
      <c r="V350" s="436">
        <f t="shared" si="241"/>
        <v>5874</v>
      </c>
      <c r="W350" s="436">
        <f t="shared" si="241"/>
        <v>5874</v>
      </c>
      <c r="X350" s="436">
        <f t="shared" si="241"/>
        <v>0</v>
      </c>
      <c r="Y350" s="436">
        <f t="shared" si="241"/>
        <v>0</v>
      </c>
      <c r="Z350" s="436">
        <f t="shared" si="241"/>
        <v>5874</v>
      </c>
      <c r="AA350" s="436">
        <f t="shared" si="241"/>
        <v>0</v>
      </c>
      <c r="AB350" s="437"/>
      <c r="AC350" s="380">
        <f t="shared" si="238"/>
        <v>0</v>
      </c>
    </row>
    <row r="351" spans="1:36" s="8" customFormat="1" ht="54.75" customHeight="1">
      <c r="A351" s="430" t="s">
        <v>144</v>
      </c>
      <c r="B351" s="15" t="s">
        <v>281</v>
      </c>
      <c r="C351" s="25" t="s">
        <v>315</v>
      </c>
      <c r="D351" s="13">
        <v>7860926</v>
      </c>
      <c r="E351" s="13">
        <v>311</v>
      </c>
      <c r="F351" s="643" t="s">
        <v>282</v>
      </c>
      <c r="G351" s="13" t="s">
        <v>186</v>
      </c>
      <c r="H351" s="433" t="s">
        <v>41</v>
      </c>
      <c r="I351" s="643" t="s">
        <v>283</v>
      </c>
      <c r="J351" s="644">
        <v>29661</v>
      </c>
      <c r="K351" s="12"/>
      <c r="L351" s="12"/>
      <c r="M351" s="644">
        <v>29661</v>
      </c>
      <c r="N351" s="12">
        <v>15388</v>
      </c>
      <c r="O351" s="12"/>
      <c r="P351" s="12"/>
      <c r="Q351" s="12">
        <v>15388</v>
      </c>
      <c r="R351" s="12">
        <f>7429+5874+7204+755</f>
        <v>21262</v>
      </c>
      <c r="S351" s="12"/>
      <c r="T351" s="12"/>
      <c r="U351" s="12">
        <f>7429+5874+7204+755</f>
        <v>21262</v>
      </c>
      <c r="V351" s="407">
        <v>5874</v>
      </c>
      <c r="W351" s="12">
        <f>SUM(X351:AA351)</f>
        <v>5874</v>
      </c>
      <c r="X351" s="12"/>
      <c r="Y351" s="12"/>
      <c r="Z351" s="12">
        <v>5874</v>
      </c>
      <c r="AA351" s="12"/>
      <c r="AB351" s="636" t="s">
        <v>1622</v>
      </c>
      <c r="AC351" s="380">
        <f t="shared" si="238"/>
        <v>0</v>
      </c>
      <c r="AJ351" s="8" t="s">
        <v>685</v>
      </c>
    </row>
    <row r="352" spans="1:36" s="417" customFormat="1" ht="28.5" customHeight="1">
      <c r="A352" s="327" t="s">
        <v>1306</v>
      </c>
      <c r="B352" s="413" t="s">
        <v>1307</v>
      </c>
      <c r="C352" s="25" t="s">
        <v>315</v>
      </c>
      <c r="D352" s="494"/>
      <c r="E352" s="494"/>
      <c r="F352" s="494"/>
      <c r="G352" s="494"/>
      <c r="H352" s="494"/>
      <c r="I352" s="327"/>
      <c r="J352" s="331"/>
      <c r="K352" s="331"/>
      <c r="L352" s="331"/>
      <c r="M352" s="331"/>
      <c r="N352" s="331"/>
      <c r="O352" s="331"/>
      <c r="P352" s="331"/>
      <c r="Q352" s="331"/>
      <c r="R352" s="331"/>
      <c r="S352" s="331"/>
      <c r="T352" s="331"/>
      <c r="U352" s="331"/>
      <c r="V352" s="331"/>
      <c r="W352" s="331"/>
      <c r="X352" s="331"/>
      <c r="Y352" s="331"/>
      <c r="Z352" s="331"/>
      <c r="AA352" s="331"/>
      <c r="AB352" s="332"/>
      <c r="AC352" s="380">
        <f t="shared" si="238"/>
        <v>0</v>
      </c>
    </row>
    <row r="353" spans="1:36" s="231" customFormat="1" ht="42.75">
      <c r="A353" s="426" t="s">
        <v>1313</v>
      </c>
      <c r="B353" s="642" t="s">
        <v>280</v>
      </c>
      <c r="C353" s="642" t="s">
        <v>280</v>
      </c>
      <c r="D353" s="312"/>
      <c r="E353" s="312"/>
      <c r="F353" s="628"/>
      <c r="G353" s="629"/>
      <c r="H353" s="320"/>
      <c r="I353" s="320"/>
      <c r="J353" s="630">
        <f t="shared" ref="J353:AA353" si="242">+J354</f>
        <v>26128</v>
      </c>
      <c r="K353" s="630">
        <f t="shared" si="242"/>
        <v>0</v>
      </c>
      <c r="L353" s="630">
        <f t="shared" si="242"/>
        <v>0</v>
      </c>
      <c r="M353" s="630">
        <f t="shared" si="242"/>
        <v>26128</v>
      </c>
      <c r="N353" s="630">
        <f t="shared" si="242"/>
        <v>12916</v>
      </c>
      <c r="O353" s="630">
        <f t="shared" si="242"/>
        <v>0</v>
      </c>
      <c r="P353" s="630">
        <f t="shared" si="242"/>
        <v>0</v>
      </c>
      <c r="Q353" s="630">
        <f t="shared" si="242"/>
        <v>12916</v>
      </c>
      <c r="R353" s="630">
        <f t="shared" si="242"/>
        <v>12916</v>
      </c>
      <c r="S353" s="630">
        <f t="shared" si="242"/>
        <v>0</v>
      </c>
      <c r="T353" s="630">
        <f t="shared" si="242"/>
        <v>0</v>
      </c>
      <c r="U353" s="630">
        <f t="shared" si="242"/>
        <v>12916</v>
      </c>
      <c r="V353" s="630">
        <f t="shared" si="242"/>
        <v>8496</v>
      </c>
      <c r="W353" s="630">
        <f t="shared" si="242"/>
        <v>8496</v>
      </c>
      <c r="X353" s="630">
        <f t="shared" si="242"/>
        <v>8496</v>
      </c>
      <c r="Y353" s="630">
        <f t="shared" si="242"/>
        <v>0</v>
      </c>
      <c r="Z353" s="630">
        <f t="shared" si="242"/>
        <v>0</v>
      </c>
      <c r="AA353" s="630">
        <f t="shared" si="242"/>
        <v>0</v>
      </c>
      <c r="AB353" s="631"/>
      <c r="AC353" s="380">
        <f t="shared" si="238"/>
        <v>0</v>
      </c>
    </row>
    <row r="354" spans="1:36" s="10" customFormat="1" ht="20.25" customHeight="1">
      <c r="A354" s="393" t="s">
        <v>1312</v>
      </c>
      <c r="B354" s="394" t="s">
        <v>38</v>
      </c>
      <c r="C354" s="25" t="s">
        <v>280</v>
      </c>
      <c r="D354" s="421"/>
      <c r="E354" s="421"/>
      <c r="F354" s="421"/>
      <c r="G354" s="421"/>
      <c r="H354" s="421"/>
      <c r="I354" s="421"/>
      <c r="J354" s="453">
        <f t="shared" ref="J354:AB354" si="243">+J355+J356+J358</f>
        <v>26128</v>
      </c>
      <c r="K354" s="453">
        <f t="shared" si="243"/>
        <v>0</v>
      </c>
      <c r="L354" s="453">
        <f t="shared" si="243"/>
        <v>0</v>
      </c>
      <c r="M354" s="453">
        <f t="shared" si="243"/>
        <v>26128</v>
      </c>
      <c r="N354" s="453">
        <f t="shared" si="243"/>
        <v>12916</v>
      </c>
      <c r="O354" s="453">
        <f t="shared" si="243"/>
        <v>0</v>
      </c>
      <c r="P354" s="453">
        <f t="shared" si="243"/>
        <v>0</v>
      </c>
      <c r="Q354" s="453">
        <f t="shared" si="243"/>
        <v>12916</v>
      </c>
      <c r="R354" s="453">
        <f t="shared" si="243"/>
        <v>12916</v>
      </c>
      <c r="S354" s="453">
        <f t="shared" si="243"/>
        <v>0</v>
      </c>
      <c r="T354" s="453">
        <f t="shared" si="243"/>
        <v>0</v>
      </c>
      <c r="U354" s="453">
        <f t="shared" si="243"/>
        <v>12916</v>
      </c>
      <c r="V354" s="453">
        <f t="shared" si="243"/>
        <v>8496</v>
      </c>
      <c r="W354" s="453">
        <f t="shared" si="243"/>
        <v>8496</v>
      </c>
      <c r="X354" s="453">
        <f t="shared" si="243"/>
        <v>8496</v>
      </c>
      <c r="Y354" s="453">
        <f t="shared" si="243"/>
        <v>0</v>
      </c>
      <c r="Z354" s="453">
        <f t="shared" si="243"/>
        <v>0</v>
      </c>
      <c r="AA354" s="453">
        <f t="shared" si="243"/>
        <v>0</v>
      </c>
      <c r="AB354" s="454">
        <f t="shared" si="243"/>
        <v>0</v>
      </c>
      <c r="AC354" s="380">
        <f t="shared" si="238"/>
        <v>0</v>
      </c>
    </row>
    <row r="355" spans="1:36" s="10" customFormat="1" ht="39.75" customHeight="1">
      <c r="A355" s="332" t="s">
        <v>39</v>
      </c>
      <c r="B355" s="326" t="s">
        <v>1254</v>
      </c>
      <c r="C355" s="25" t="s">
        <v>280</v>
      </c>
      <c r="D355" s="554"/>
      <c r="E355" s="332"/>
      <c r="F355" s="471"/>
      <c r="G355" s="471"/>
      <c r="H355" s="332"/>
      <c r="I355" s="471"/>
      <c r="J355" s="331"/>
      <c r="K355" s="331"/>
      <c r="L355" s="331"/>
      <c r="M355" s="331"/>
      <c r="N355" s="331"/>
      <c r="O355" s="331"/>
      <c r="P355" s="331"/>
      <c r="Q355" s="331"/>
      <c r="R355" s="331"/>
      <c r="S355" s="331"/>
      <c r="T355" s="331"/>
      <c r="U355" s="331"/>
      <c r="V355" s="331"/>
      <c r="W355" s="331"/>
      <c r="X355" s="331"/>
      <c r="Y355" s="331"/>
      <c r="Z355" s="331"/>
      <c r="AA355" s="331"/>
      <c r="AB355" s="332"/>
      <c r="AC355" s="380">
        <f t="shared" si="238"/>
        <v>0</v>
      </c>
    </row>
    <row r="356" spans="1:36" s="10" customFormat="1" ht="48.75" customHeight="1">
      <c r="A356" s="397" t="s">
        <v>467</v>
      </c>
      <c r="B356" s="400" t="s">
        <v>183</v>
      </c>
      <c r="C356" s="25" t="s">
        <v>280</v>
      </c>
      <c r="D356" s="435"/>
      <c r="E356" s="435"/>
      <c r="F356" s="328"/>
      <c r="G356" s="328"/>
      <c r="H356" s="328"/>
      <c r="I356" s="328"/>
      <c r="J356" s="436">
        <f t="shared" ref="J356:AA356" si="244">+J357</f>
        <v>26128</v>
      </c>
      <c r="K356" s="436">
        <f t="shared" si="244"/>
        <v>0</v>
      </c>
      <c r="L356" s="436">
        <f t="shared" si="244"/>
        <v>0</v>
      </c>
      <c r="M356" s="436">
        <f t="shared" si="244"/>
        <v>26128</v>
      </c>
      <c r="N356" s="436">
        <f t="shared" si="244"/>
        <v>12916</v>
      </c>
      <c r="O356" s="436">
        <f t="shared" si="244"/>
        <v>0</v>
      </c>
      <c r="P356" s="436">
        <f t="shared" si="244"/>
        <v>0</v>
      </c>
      <c r="Q356" s="436">
        <f t="shared" si="244"/>
        <v>12916</v>
      </c>
      <c r="R356" s="436">
        <f t="shared" si="244"/>
        <v>12916</v>
      </c>
      <c r="S356" s="436">
        <f t="shared" si="244"/>
        <v>0</v>
      </c>
      <c r="T356" s="436">
        <f t="shared" si="244"/>
        <v>0</v>
      </c>
      <c r="U356" s="436">
        <f t="shared" si="244"/>
        <v>12916</v>
      </c>
      <c r="V356" s="436">
        <f t="shared" si="244"/>
        <v>8496</v>
      </c>
      <c r="W356" s="436">
        <f t="shared" si="244"/>
        <v>8496</v>
      </c>
      <c r="X356" s="436">
        <f t="shared" si="244"/>
        <v>8496</v>
      </c>
      <c r="Y356" s="436">
        <f t="shared" si="244"/>
        <v>0</v>
      </c>
      <c r="Z356" s="436">
        <f t="shared" si="244"/>
        <v>0</v>
      </c>
      <c r="AA356" s="436">
        <f t="shared" si="244"/>
        <v>0</v>
      </c>
      <c r="AB356" s="437"/>
      <c r="AC356" s="380">
        <f t="shared" si="238"/>
        <v>0</v>
      </c>
    </row>
    <row r="357" spans="1:36" s="8" customFormat="1" ht="102" customHeight="1">
      <c r="A357" s="430" t="s">
        <v>144</v>
      </c>
      <c r="B357" s="645" t="s">
        <v>311</v>
      </c>
      <c r="C357" s="25" t="s">
        <v>280</v>
      </c>
      <c r="D357" s="316" t="s">
        <v>312</v>
      </c>
      <c r="E357" s="456" t="s">
        <v>313</v>
      </c>
      <c r="F357" s="11" t="s">
        <v>304</v>
      </c>
      <c r="G357" s="11"/>
      <c r="H357" s="309" t="s">
        <v>44</v>
      </c>
      <c r="I357" s="408" t="s">
        <v>314</v>
      </c>
      <c r="J357" s="407">
        <v>26128</v>
      </c>
      <c r="K357" s="12"/>
      <c r="L357" s="12"/>
      <c r="M357" s="407">
        <v>26128</v>
      </c>
      <c r="N357" s="44">
        <v>12916</v>
      </c>
      <c r="O357" s="12"/>
      <c r="P357" s="12"/>
      <c r="Q357" s="44">
        <v>12916</v>
      </c>
      <c r="R357" s="44">
        <v>12916</v>
      </c>
      <c r="S357" s="12"/>
      <c r="T357" s="12"/>
      <c r="U357" s="44">
        <v>12916</v>
      </c>
      <c r="V357" s="407">
        <v>8496</v>
      </c>
      <c r="W357" s="12">
        <f>SUM(X357:AA357)</f>
        <v>8496</v>
      </c>
      <c r="X357" s="12">
        <v>8496</v>
      </c>
      <c r="Y357" s="12"/>
      <c r="Z357" s="12"/>
      <c r="AA357" s="12"/>
      <c r="AB357" s="636" t="s">
        <v>1622</v>
      </c>
      <c r="AC357" s="380">
        <f t="shared" si="238"/>
        <v>0</v>
      </c>
      <c r="AJ357" s="8" t="s">
        <v>685</v>
      </c>
    </row>
    <row r="358" spans="1:36" s="417" customFormat="1" ht="28.5" customHeight="1">
      <c r="A358" s="327" t="s">
        <v>1306</v>
      </c>
      <c r="B358" s="413" t="s">
        <v>1307</v>
      </c>
      <c r="C358" s="25" t="s">
        <v>280</v>
      </c>
      <c r="D358" s="494"/>
      <c r="E358" s="494"/>
      <c r="F358" s="494"/>
      <c r="G358" s="494"/>
      <c r="H358" s="494"/>
      <c r="I358" s="327"/>
      <c r="J358" s="331"/>
      <c r="K358" s="331"/>
      <c r="L358" s="331"/>
      <c r="M358" s="331"/>
      <c r="N358" s="331"/>
      <c r="O358" s="331"/>
      <c r="P358" s="331"/>
      <c r="Q358" s="331"/>
      <c r="R358" s="331"/>
      <c r="S358" s="331"/>
      <c r="T358" s="331"/>
      <c r="U358" s="331"/>
      <c r="V358" s="331"/>
      <c r="W358" s="331"/>
      <c r="X358" s="331"/>
      <c r="Y358" s="331"/>
      <c r="Z358" s="331"/>
      <c r="AA358" s="331"/>
      <c r="AB358" s="332"/>
      <c r="AC358" s="380">
        <f t="shared" si="238"/>
        <v>0</v>
      </c>
    </row>
    <row r="359" spans="1:36" s="231" customFormat="1" ht="38.25" customHeight="1">
      <c r="A359" s="426" t="s">
        <v>1333</v>
      </c>
      <c r="B359" s="441" t="s">
        <v>203</v>
      </c>
      <c r="C359" s="441" t="s">
        <v>203</v>
      </c>
      <c r="D359" s="312"/>
      <c r="E359" s="312"/>
      <c r="F359" s="628"/>
      <c r="G359" s="629"/>
      <c r="H359" s="320"/>
      <c r="I359" s="320"/>
      <c r="J359" s="630">
        <f t="shared" ref="J359:AA359" si="245">+J360</f>
        <v>300420</v>
      </c>
      <c r="K359" s="630">
        <f t="shared" si="245"/>
        <v>0</v>
      </c>
      <c r="L359" s="630">
        <f t="shared" si="245"/>
        <v>234000</v>
      </c>
      <c r="M359" s="630">
        <f t="shared" si="245"/>
        <v>66420</v>
      </c>
      <c r="N359" s="630">
        <f t="shared" si="245"/>
        <v>61340</v>
      </c>
      <c r="O359" s="630">
        <f t="shared" si="245"/>
        <v>0</v>
      </c>
      <c r="P359" s="630">
        <f t="shared" si="245"/>
        <v>61340</v>
      </c>
      <c r="Q359" s="630">
        <f t="shared" si="245"/>
        <v>0</v>
      </c>
      <c r="R359" s="630">
        <f t="shared" si="245"/>
        <v>177039</v>
      </c>
      <c r="S359" s="630">
        <f t="shared" si="245"/>
        <v>0</v>
      </c>
      <c r="T359" s="630">
        <f t="shared" si="245"/>
        <v>177039</v>
      </c>
      <c r="U359" s="630">
        <f t="shared" si="245"/>
        <v>0</v>
      </c>
      <c r="V359" s="630">
        <f t="shared" si="245"/>
        <v>66416</v>
      </c>
      <c r="W359" s="630">
        <f t="shared" si="245"/>
        <v>40000</v>
      </c>
      <c r="X359" s="630">
        <f t="shared" si="245"/>
        <v>0</v>
      </c>
      <c r="Y359" s="630">
        <f t="shared" si="245"/>
        <v>40000</v>
      </c>
      <c r="Z359" s="630">
        <f t="shared" si="245"/>
        <v>0</v>
      </c>
      <c r="AA359" s="630">
        <f t="shared" si="245"/>
        <v>0</v>
      </c>
      <c r="AB359" s="631"/>
      <c r="AC359" s="380">
        <f t="shared" si="238"/>
        <v>0</v>
      </c>
    </row>
    <row r="360" spans="1:36" s="10" customFormat="1" ht="33.75" customHeight="1">
      <c r="A360" s="393" t="s">
        <v>1315</v>
      </c>
      <c r="B360" s="394" t="s">
        <v>38</v>
      </c>
      <c r="C360" s="27" t="s">
        <v>203</v>
      </c>
      <c r="D360" s="421"/>
      <c r="E360" s="421"/>
      <c r="F360" s="421"/>
      <c r="G360" s="646"/>
      <c r="H360" s="421"/>
      <c r="I360" s="421"/>
      <c r="J360" s="453">
        <f t="shared" ref="J360:AA360" si="246">+J362+J361+J364</f>
        <v>300420</v>
      </c>
      <c r="K360" s="453">
        <f t="shared" si="246"/>
        <v>0</v>
      </c>
      <c r="L360" s="453">
        <f t="shared" si="246"/>
        <v>234000</v>
      </c>
      <c r="M360" s="453">
        <f t="shared" si="246"/>
        <v>66420</v>
      </c>
      <c r="N360" s="453">
        <f t="shared" si="246"/>
        <v>61340</v>
      </c>
      <c r="O360" s="453">
        <f t="shared" si="246"/>
        <v>0</v>
      </c>
      <c r="P360" s="453">
        <f t="shared" si="246"/>
        <v>61340</v>
      </c>
      <c r="Q360" s="453">
        <f t="shared" si="246"/>
        <v>0</v>
      </c>
      <c r="R360" s="453">
        <f t="shared" si="246"/>
        <v>177039</v>
      </c>
      <c r="S360" s="453">
        <f t="shared" si="246"/>
        <v>0</v>
      </c>
      <c r="T360" s="453">
        <f t="shared" si="246"/>
        <v>177039</v>
      </c>
      <c r="U360" s="453">
        <f t="shared" si="246"/>
        <v>0</v>
      </c>
      <c r="V360" s="453">
        <f t="shared" si="246"/>
        <v>66416</v>
      </c>
      <c r="W360" s="453">
        <f t="shared" si="246"/>
        <v>40000</v>
      </c>
      <c r="X360" s="453">
        <f t="shared" si="246"/>
        <v>0</v>
      </c>
      <c r="Y360" s="453">
        <f t="shared" si="246"/>
        <v>40000</v>
      </c>
      <c r="Z360" s="453">
        <f t="shared" si="246"/>
        <v>0</v>
      </c>
      <c r="AA360" s="453">
        <f t="shared" si="246"/>
        <v>0</v>
      </c>
      <c r="AB360" s="454"/>
      <c r="AC360" s="380">
        <f t="shared" si="238"/>
        <v>0</v>
      </c>
    </row>
    <row r="361" spans="1:36" s="10" customFormat="1" ht="39.75" customHeight="1">
      <c r="A361" s="332" t="s">
        <v>39</v>
      </c>
      <c r="B361" s="326" t="s">
        <v>1254</v>
      </c>
      <c r="C361" s="27" t="s">
        <v>203</v>
      </c>
      <c r="D361" s="554"/>
      <c r="E361" s="332"/>
      <c r="F361" s="471"/>
      <c r="G361" s="471"/>
      <c r="H361" s="332"/>
      <c r="I361" s="471"/>
      <c r="J361" s="331"/>
      <c r="K361" s="331"/>
      <c r="L361" s="331"/>
      <c r="M361" s="331"/>
      <c r="N361" s="331"/>
      <c r="O361" s="331"/>
      <c r="P361" s="331"/>
      <c r="Q361" s="331"/>
      <c r="R361" s="331"/>
      <c r="S361" s="331"/>
      <c r="T361" s="331"/>
      <c r="U361" s="331"/>
      <c r="V361" s="331"/>
      <c r="W361" s="331"/>
      <c r="X361" s="331"/>
      <c r="Y361" s="331"/>
      <c r="Z361" s="331"/>
      <c r="AA361" s="331"/>
      <c r="AB361" s="332"/>
      <c r="AC361" s="380">
        <f t="shared" si="238"/>
        <v>0</v>
      </c>
    </row>
    <row r="362" spans="1:36" s="10" customFormat="1" ht="45" customHeight="1">
      <c r="A362" s="397" t="s">
        <v>467</v>
      </c>
      <c r="B362" s="400" t="s">
        <v>183</v>
      </c>
      <c r="C362" s="27" t="s">
        <v>203</v>
      </c>
      <c r="D362" s="435"/>
      <c r="E362" s="435"/>
      <c r="F362" s="328"/>
      <c r="G362" s="646"/>
      <c r="H362" s="328"/>
      <c r="I362" s="328"/>
      <c r="J362" s="436">
        <f t="shared" ref="J362:AA362" si="247">+J363</f>
        <v>300420</v>
      </c>
      <c r="K362" s="436">
        <f t="shared" si="247"/>
        <v>0</v>
      </c>
      <c r="L362" s="436">
        <f t="shared" si="247"/>
        <v>234000</v>
      </c>
      <c r="M362" s="436">
        <f t="shared" si="247"/>
        <v>66420</v>
      </c>
      <c r="N362" s="436">
        <f t="shared" si="247"/>
        <v>61340</v>
      </c>
      <c r="O362" s="436">
        <f t="shared" si="247"/>
        <v>0</v>
      </c>
      <c r="P362" s="436">
        <f t="shared" si="247"/>
        <v>61340</v>
      </c>
      <c r="Q362" s="436">
        <f t="shared" si="247"/>
        <v>0</v>
      </c>
      <c r="R362" s="436">
        <f t="shared" si="247"/>
        <v>177039</v>
      </c>
      <c r="S362" s="436">
        <f t="shared" si="247"/>
        <v>0</v>
      </c>
      <c r="T362" s="436">
        <f t="shared" si="247"/>
        <v>177039</v>
      </c>
      <c r="U362" s="436">
        <f t="shared" si="247"/>
        <v>0</v>
      </c>
      <c r="V362" s="436">
        <f t="shared" si="247"/>
        <v>66416</v>
      </c>
      <c r="W362" s="436">
        <f t="shared" si="247"/>
        <v>40000</v>
      </c>
      <c r="X362" s="436">
        <f t="shared" si="247"/>
        <v>0</v>
      </c>
      <c r="Y362" s="436">
        <f t="shared" si="247"/>
        <v>40000</v>
      </c>
      <c r="Z362" s="436">
        <f t="shared" si="247"/>
        <v>0</v>
      </c>
      <c r="AA362" s="436">
        <f t="shared" si="247"/>
        <v>0</v>
      </c>
      <c r="AB362" s="437"/>
      <c r="AC362" s="380">
        <f t="shared" si="238"/>
        <v>0</v>
      </c>
    </row>
    <row r="363" spans="1:36" s="8" customFormat="1" ht="56.25" customHeight="1">
      <c r="A363" s="430" t="s">
        <v>144</v>
      </c>
      <c r="B363" s="15" t="s">
        <v>284</v>
      </c>
      <c r="C363" s="27" t="s">
        <v>203</v>
      </c>
      <c r="D363" s="440">
        <v>7933935</v>
      </c>
      <c r="E363" s="13">
        <v>262</v>
      </c>
      <c r="F363" s="98" t="s">
        <v>206</v>
      </c>
      <c r="G363" s="98"/>
      <c r="H363" s="98" t="s">
        <v>285</v>
      </c>
      <c r="I363" s="98" t="s">
        <v>286</v>
      </c>
      <c r="J363" s="647">
        <f>+L363+M363</f>
        <v>300420</v>
      </c>
      <c r="K363" s="12"/>
      <c r="L363" s="12">
        <v>234000</v>
      </c>
      <c r="M363" s="647">
        <v>66420</v>
      </c>
      <c r="N363" s="12">
        <f>O363+P363+Q363</f>
        <v>61340</v>
      </c>
      <c r="O363" s="12"/>
      <c r="P363" s="12">
        <v>61340</v>
      </c>
      <c r="Q363" s="12"/>
      <c r="R363" s="12">
        <f>S363+T363+U363</f>
        <v>177039</v>
      </c>
      <c r="S363" s="12"/>
      <c r="T363" s="12">
        <v>177039</v>
      </c>
      <c r="U363" s="12"/>
      <c r="V363" s="19">
        <v>66416</v>
      </c>
      <c r="W363" s="12">
        <f>SUM(X363:AA363)</f>
        <v>40000</v>
      </c>
      <c r="X363" s="12"/>
      <c r="Y363" s="12">
        <v>40000</v>
      </c>
      <c r="Z363" s="12"/>
      <c r="AA363" s="12"/>
      <c r="AB363" s="91" t="s">
        <v>1639</v>
      </c>
      <c r="AC363" s="380">
        <f t="shared" si="238"/>
        <v>0</v>
      </c>
      <c r="AJ363" s="8" t="s">
        <v>685</v>
      </c>
    </row>
    <row r="364" spans="1:36" s="417" customFormat="1" ht="28.5" customHeight="1">
      <c r="A364" s="327" t="s">
        <v>1306</v>
      </c>
      <c r="B364" s="413" t="s">
        <v>1307</v>
      </c>
      <c r="C364" s="27" t="s">
        <v>203</v>
      </c>
      <c r="D364" s="494"/>
      <c r="E364" s="494"/>
      <c r="F364" s="494"/>
      <c r="G364" s="494"/>
      <c r="H364" s="494"/>
      <c r="I364" s="327"/>
      <c r="J364" s="331"/>
      <c r="K364" s="331"/>
      <c r="L364" s="331"/>
      <c r="M364" s="331"/>
      <c r="N364" s="331"/>
      <c r="O364" s="331"/>
      <c r="P364" s="331"/>
      <c r="Q364" s="331"/>
      <c r="R364" s="331"/>
      <c r="S364" s="331"/>
      <c r="T364" s="331"/>
      <c r="U364" s="331"/>
      <c r="V364" s="331"/>
      <c r="W364" s="331"/>
      <c r="X364" s="331"/>
      <c r="Y364" s="331"/>
      <c r="Z364" s="331"/>
      <c r="AA364" s="331"/>
      <c r="AB364" s="332"/>
      <c r="AC364" s="380">
        <f t="shared" si="238"/>
        <v>0</v>
      </c>
    </row>
    <row r="365" spans="1:36" s="231" customFormat="1" ht="38.25" customHeight="1">
      <c r="A365" s="648">
        <v>9</v>
      </c>
      <c r="B365" s="649" t="s">
        <v>234</v>
      </c>
      <c r="C365" s="649" t="s">
        <v>234</v>
      </c>
      <c r="D365" s="427"/>
      <c r="E365" s="320"/>
      <c r="F365" s="650"/>
      <c r="G365" s="320"/>
      <c r="H365" s="320"/>
      <c r="I365" s="320"/>
      <c r="J365" s="651">
        <f t="shared" ref="J365:AA365" si="248">+J366</f>
        <v>39711</v>
      </c>
      <c r="K365" s="651">
        <f t="shared" si="248"/>
        <v>0</v>
      </c>
      <c r="L365" s="651">
        <f t="shared" si="248"/>
        <v>0</v>
      </c>
      <c r="M365" s="651">
        <f t="shared" si="248"/>
        <v>39711</v>
      </c>
      <c r="N365" s="651">
        <f t="shared" si="248"/>
        <v>10380.237864999999</v>
      </c>
      <c r="O365" s="651">
        <f t="shared" si="248"/>
        <v>0</v>
      </c>
      <c r="P365" s="651">
        <f t="shared" si="248"/>
        <v>0</v>
      </c>
      <c r="Q365" s="651">
        <f t="shared" si="248"/>
        <v>10380.237864999999</v>
      </c>
      <c r="R365" s="651">
        <f t="shared" si="248"/>
        <v>15350</v>
      </c>
      <c r="S365" s="651">
        <f t="shared" si="248"/>
        <v>0</v>
      </c>
      <c r="T365" s="651">
        <f t="shared" si="248"/>
        <v>0</v>
      </c>
      <c r="U365" s="651">
        <f t="shared" si="248"/>
        <v>15350</v>
      </c>
      <c r="V365" s="651">
        <f t="shared" si="248"/>
        <v>12000</v>
      </c>
      <c r="W365" s="651">
        <f t="shared" si="248"/>
        <v>8000</v>
      </c>
      <c r="X365" s="651">
        <f t="shared" si="248"/>
        <v>0</v>
      </c>
      <c r="Y365" s="651">
        <f t="shared" si="248"/>
        <v>8000</v>
      </c>
      <c r="Z365" s="651">
        <f t="shared" si="248"/>
        <v>0</v>
      </c>
      <c r="AA365" s="651">
        <f t="shared" si="248"/>
        <v>0</v>
      </c>
      <c r="AB365" s="650"/>
      <c r="AC365" s="380">
        <f t="shared" si="238"/>
        <v>0</v>
      </c>
    </row>
    <row r="366" spans="1:36" s="417" customFormat="1" ht="33" customHeight="1">
      <c r="A366" s="393" t="s">
        <v>1332</v>
      </c>
      <c r="B366" s="394" t="s">
        <v>38</v>
      </c>
      <c r="C366" s="104" t="s">
        <v>234</v>
      </c>
      <c r="D366" s="421"/>
      <c r="E366" s="421"/>
      <c r="F366" s="421"/>
      <c r="G366" s="421"/>
      <c r="H366" s="421"/>
      <c r="I366" s="421"/>
      <c r="J366" s="453">
        <f t="shared" ref="J366:AA366" si="249">+J368+J367+J370</f>
        <v>39711</v>
      </c>
      <c r="K366" s="453">
        <f t="shared" si="249"/>
        <v>0</v>
      </c>
      <c r="L366" s="453">
        <f t="shared" si="249"/>
        <v>0</v>
      </c>
      <c r="M366" s="453">
        <f t="shared" si="249"/>
        <v>39711</v>
      </c>
      <c r="N366" s="453">
        <f t="shared" si="249"/>
        <v>10380.237864999999</v>
      </c>
      <c r="O366" s="453">
        <f t="shared" si="249"/>
        <v>0</v>
      </c>
      <c r="P366" s="453">
        <f t="shared" si="249"/>
        <v>0</v>
      </c>
      <c r="Q366" s="453">
        <f t="shared" si="249"/>
        <v>10380.237864999999</v>
      </c>
      <c r="R366" s="453">
        <f t="shared" si="249"/>
        <v>15350</v>
      </c>
      <c r="S366" s="453">
        <f t="shared" si="249"/>
        <v>0</v>
      </c>
      <c r="T366" s="453">
        <f t="shared" si="249"/>
        <v>0</v>
      </c>
      <c r="U366" s="453">
        <f t="shared" si="249"/>
        <v>15350</v>
      </c>
      <c r="V366" s="453">
        <f t="shared" si="249"/>
        <v>12000</v>
      </c>
      <c r="W366" s="453">
        <f t="shared" si="249"/>
        <v>8000</v>
      </c>
      <c r="X366" s="453">
        <f t="shared" si="249"/>
        <v>0</v>
      </c>
      <c r="Y366" s="453">
        <f t="shared" si="249"/>
        <v>8000</v>
      </c>
      <c r="Z366" s="453">
        <f t="shared" si="249"/>
        <v>0</v>
      </c>
      <c r="AA366" s="453">
        <f t="shared" si="249"/>
        <v>0</v>
      </c>
      <c r="AB366" s="454"/>
      <c r="AC366" s="380">
        <f t="shared" si="238"/>
        <v>0</v>
      </c>
    </row>
    <row r="367" spans="1:36" s="10" customFormat="1" ht="39.75" customHeight="1">
      <c r="A367" s="332" t="s">
        <v>39</v>
      </c>
      <c r="B367" s="326" t="s">
        <v>1254</v>
      </c>
      <c r="C367" s="104" t="s">
        <v>234</v>
      </c>
      <c r="D367" s="554"/>
      <c r="E367" s="332"/>
      <c r="F367" s="471"/>
      <c r="G367" s="471"/>
      <c r="H367" s="332"/>
      <c r="I367" s="471"/>
      <c r="J367" s="331"/>
      <c r="K367" s="331"/>
      <c r="L367" s="331"/>
      <c r="M367" s="331"/>
      <c r="N367" s="331"/>
      <c r="O367" s="331"/>
      <c r="P367" s="331"/>
      <c r="Q367" s="331"/>
      <c r="R367" s="331"/>
      <c r="S367" s="331"/>
      <c r="T367" s="331"/>
      <c r="U367" s="331"/>
      <c r="V367" s="331"/>
      <c r="W367" s="331"/>
      <c r="X367" s="331"/>
      <c r="Y367" s="331"/>
      <c r="Z367" s="331"/>
      <c r="AA367" s="331"/>
      <c r="AB367" s="332"/>
      <c r="AC367" s="380">
        <f t="shared" si="238"/>
        <v>0</v>
      </c>
    </row>
    <row r="368" spans="1:36" s="417" customFormat="1" ht="55.5" customHeight="1">
      <c r="A368" s="397" t="s">
        <v>467</v>
      </c>
      <c r="B368" s="400" t="s">
        <v>183</v>
      </c>
      <c r="C368" s="104" t="s">
        <v>234</v>
      </c>
      <c r="D368" s="435"/>
      <c r="E368" s="435"/>
      <c r="F368" s="328"/>
      <c r="G368" s="328"/>
      <c r="H368" s="328"/>
      <c r="I368" s="328"/>
      <c r="J368" s="436">
        <f t="shared" ref="J368:AA368" si="250">J369</f>
        <v>39711</v>
      </c>
      <c r="K368" s="436">
        <f t="shared" si="250"/>
        <v>0</v>
      </c>
      <c r="L368" s="436">
        <f t="shared" si="250"/>
        <v>0</v>
      </c>
      <c r="M368" s="436">
        <f t="shared" si="250"/>
        <v>39711</v>
      </c>
      <c r="N368" s="436">
        <f t="shared" si="250"/>
        <v>10380.237864999999</v>
      </c>
      <c r="O368" s="436">
        <f t="shared" si="250"/>
        <v>0</v>
      </c>
      <c r="P368" s="436">
        <f t="shared" si="250"/>
        <v>0</v>
      </c>
      <c r="Q368" s="436">
        <f t="shared" si="250"/>
        <v>10380.237864999999</v>
      </c>
      <c r="R368" s="436">
        <f t="shared" si="250"/>
        <v>15350</v>
      </c>
      <c r="S368" s="436">
        <f t="shared" si="250"/>
        <v>0</v>
      </c>
      <c r="T368" s="436">
        <f t="shared" si="250"/>
        <v>0</v>
      </c>
      <c r="U368" s="436">
        <f t="shared" si="250"/>
        <v>15350</v>
      </c>
      <c r="V368" s="436">
        <f t="shared" si="250"/>
        <v>12000</v>
      </c>
      <c r="W368" s="436">
        <f t="shared" si="250"/>
        <v>8000</v>
      </c>
      <c r="X368" s="436">
        <f t="shared" si="250"/>
        <v>0</v>
      </c>
      <c r="Y368" s="436">
        <f t="shared" si="250"/>
        <v>8000</v>
      </c>
      <c r="Z368" s="436">
        <f t="shared" si="250"/>
        <v>0</v>
      </c>
      <c r="AA368" s="436">
        <f t="shared" si="250"/>
        <v>0</v>
      </c>
      <c r="AB368" s="437"/>
      <c r="AC368" s="380">
        <f t="shared" si="238"/>
        <v>0</v>
      </c>
    </row>
    <row r="369" spans="1:36" s="7" customFormat="1" ht="54" customHeight="1">
      <c r="A369" s="26" t="s">
        <v>144</v>
      </c>
      <c r="B369" s="27" t="s">
        <v>289</v>
      </c>
      <c r="C369" s="104" t="s">
        <v>234</v>
      </c>
      <c r="D369" s="13">
        <v>8001900</v>
      </c>
      <c r="E369" s="313">
        <v>283</v>
      </c>
      <c r="F369" s="13" t="s">
        <v>265</v>
      </c>
      <c r="G369" s="545" t="s">
        <v>290</v>
      </c>
      <c r="H369" s="13" t="s">
        <v>136</v>
      </c>
      <c r="I369" s="13" t="s">
        <v>291</v>
      </c>
      <c r="J369" s="113">
        <v>39711</v>
      </c>
      <c r="K369" s="113"/>
      <c r="L369" s="113"/>
      <c r="M369" s="113">
        <v>39711</v>
      </c>
      <c r="N369" s="110">
        <f>O369+P369+Q369</f>
        <v>10380.237864999999</v>
      </c>
      <c r="O369" s="110"/>
      <c r="P369" s="110"/>
      <c r="Q369" s="110">
        <v>10380.237864999999</v>
      </c>
      <c r="R369" s="110">
        <f>S369+T369+U369</f>
        <v>15350</v>
      </c>
      <c r="S369" s="110"/>
      <c r="T369" s="110"/>
      <c r="U369" s="110">
        <f>15350</f>
        <v>15350</v>
      </c>
      <c r="V369" s="407">
        <v>12000</v>
      </c>
      <c r="W369" s="110">
        <f>SUM(X369:AA369)</f>
        <v>8000</v>
      </c>
      <c r="X369" s="110"/>
      <c r="Y369" s="110">
        <v>8000</v>
      </c>
      <c r="Z369" s="110"/>
      <c r="AA369" s="110"/>
      <c r="AB369" s="108" t="s">
        <v>1639</v>
      </c>
      <c r="AC369" s="380">
        <f t="shared" si="238"/>
        <v>0</v>
      </c>
      <c r="AJ369" s="8" t="s">
        <v>685</v>
      </c>
    </row>
    <row r="370" spans="1:36" s="417" customFormat="1" ht="28.5" customHeight="1">
      <c r="A370" s="327" t="s">
        <v>1306</v>
      </c>
      <c r="B370" s="413" t="s">
        <v>1307</v>
      </c>
      <c r="C370" s="104" t="s">
        <v>234</v>
      </c>
      <c r="D370" s="494"/>
      <c r="E370" s="494"/>
      <c r="F370" s="494"/>
      <c r="G370" s="494"/>
      <c r="H370" s="494"/>
      <c r="I370" s="327"/>
      <c r="J370" s="331"/>
      <c r="K370" s="331"/>
      <c r="L370" s="331"/>
      <c r="M370" s="331"/>
      <c r="N370" s="331"/>
      <c r="O370" s="331"/>
      <c r="P370" s="331"/>
      <c r="Q370" s="331"/>
      <c r="R370" s="331"/>
      <c r="S370" s="331"/>
      <c r="T370" s="331"/>
      <c r="U370" s="331"/>
      <c r="V370" s="331"/>
      <c r="W370" s="331"/>
      <c r="X370" s="331"/>
      <c r="Y370" s="331"/>
      <c r="Z370" s="331"/>
      <c r="AA370" s="331"/>
      <c r="AB370" s="332"/>
      <c r="AC370" s="380">
        <f t="shared" si="238"/>
        <v>0</v>
      </c>
    </row>
    <row r="371" spans="1:36" s="501" customFormat="1" ht="30.75" customHeight="1">
      <c r="A371" s="426" t="s">
        <v>1334</v>
      </c>
      <c r="B371" s="317" t="s">
        <v>247</v>
      </c>
      <c r="C371" s="317" t="s">
        <v>247</v>
      </c>
      <c r="D371" s="320"/>
      <c r="E371" s="389"/>
      <c r="F371" s="320"/>
      <c r="G371" s="652"/>
      <c r="H371" s="320"/>
      <c r="I371" s="320"/>
      <c r="J371" s="653">
        <f>J372</f>
        <v>23626</v>
      </c>
      <c r="K371" s="653">
        <f t="shared" ref="K371:AA371" si="251">K372</f>
        <v>0</v>
      </c>
      <c r="L371" s="653">
        <f t="shared" si="251"/>
        <v>0</v>
      </c>
      <c r="M371" s="653">
        <f t="shared" si="251"/>
        <v>23626</v>
      </c>
      <c r="N371" s="653">
        <f t="shared" si="251"/>
        <v>5336</v>
      </c>
      <c r="O371" s="653">
        <f t="shared" si="251"/>
        <v>0</v>
      </c>
      <c r="P371" s="653">
        <f t="shared" si="251"/>
        <v>0</v>
      </c>
      <c r="Q371" s="653">
        <f t="shared" si="251"/>
        <v>5336</v>
      </c>
      <c r="R371" s="653">
        <f t="shared" si="251"/>
        <v>5336</v>
      </c>
      <c r="S371" s="653">
        <f t="shared" si="251"/>
        <v>0</v>
      </c>
      <c r="T371" s="653">
        <f t="shared" si="251"/>
        <v>0</v>
      </c>
      <c r="U371" s="653">
        <f t="shared" si="251"/>
        <v>5336</v>
      </c>
      <c r="V371" s="653">
        <f t="shared" si="251"/>
        <v>13000</v>
      </c>
      <c r="W371" s="653">
        <f t="shared" si="251"/>
        <v>13000</v>
      </c>
      <c r="X371" s="653">
        <f t="shared" si="251"/>
        <v>13000</v>
      </c>
      <c r="Y371" s="653">
        <f t="shared" si="251"/>
        <v>0</v>
      </c>
      <c r="Z371" s="653">
        <f t="shared" si="251"/>
        <v>0</v>
      </c>
      <c r="AA371" s="653">
        <f t="shared" si="251"/>
        <v>0</v>
      </c>
      <c r="AB371" s="307"/>
      <c r="AC371" s="380">
        <f t="shared" si="238"/>
        <v>0</v>
      </c>
    </row>
    <row r="372" spans="1:36" s="10" customFormat="1" ht="29.25" customHeight="1">
      <c r="A372" s="393" t="s">
        <v>1320</v>
      </c>
      <c r="B372" s="394" t="s">
        <v>38</v>
      </c>
      <c r="C372" s="15" t="s">
        <v>247</v>
      </c>
      <c r="D372" s="421"/>
      <c r="E372" s="421"/>
      <c r="F372" s="421"/>
      <c r="G372" s="421"/>
      <c r="H372" s="421"/>
      <c r="I372" s="421"/>
      <c r="J372" s="505">
        <f>J373+J374+J376</f>
        <v>23626</v>
      </c>
      <c r="K372" s="505">
        <f t="shared" ref="K372:AA372" si="252">K373+K374+K376</f>
        <v>0</v>
      </c>
      <c r="L372" s="505">
        <f t="shared" si="252"/>
        <v>0</v>
      </c>
      <c r="M372" s="505">
        <f t="shared" si="252"/>
        <v>23626</v>
      </c>
      <c r="N372" s="505">
        <f t="shared" si="252"/>
        <v>5336</v>
      </c>
      <c r="O372" s="505">
        <f t="shared" si="252"/>
        <v>0</v>
      </c>
      <c r="P372" s="505">
        <f t="shared" si="252"/>
        <v>0</v>
      </c>
      <c r="Q372" s="505">
        <f t="shared" si="252"/>
        <v>5336</v>
      </c>
      <c r="R372" s="505">
        <f t="shared" si="252"/>
        <v>5336</v>
      </c>
      <c r="S372" s="505">
        <f t="shared" si="252"/>
        <v>0</v>
      </c>
      <c r="T372" s="505">
        <f t="shared" si="252"/>
        <v>0</v>
      </c>
      <c r="U372" s="505">
        <f t="shared" si="252"/>
        <v>5336</v>
      </c>
      <c r="V372" s="505">
        <f t="shared" si="252"/>
        <v>13000</v>
      </c>
      <c r="W372" s="505">
        <f t="shared" si="252"/>
        <v>13000</v>
      </c>
      <c r="X372" s="505">
        <f t="shared" si="252"/>
        <v>13000</v>
      </c>
      <c r="Y372" s="505">
        <f t="shared" si="252"/>
        <v>0</v>
      </c>
      <c r="Z372" s="505">
        <f t="shared" si="252"/>
        <v>0</v>
      </c>
      <c r="AA372" s="505">
        <f t="shared" si="252"/>
        <v>0</v>
      </c>
      <c r="AB372" s="506"/>
      <c r="AC372" s="380">
        <f t="shared" si="238"/>
        <v>0</v>
      </c>
    </row>
    <row r="373" spans="1:36" s="10" customFormat="1" ht="39.75" customHeight="1">
      <c r="A373" s="332" t="s">
        <v>39</v>
      </c>
      <c r="B373" s="326" t="s">
        <v>1254</v>
      </c>
      <c r="C373" s="15" t="s">
        <v>247</v>
      </c>
      <c r="D373" s="554"/>
      <c r="E373" s="332"/>
      <c r="F373" s="471"/>
      <c r="G373" s="471"/>
      <c r="H373" s="332"/>
      <c r="I373" s="471"/>
      <c r="J373" s="331"/>
      <c r="K373" s="331"/>
      <c r="L373" s="331"/>
      <c r="M373" s="331"/>
      <c r="N373" s="331"/>
      <c r="O373" s="331"/>
      <c r="P373" s="331"/>
      <c r="Q373" s="331"/>
      <c r="R373" s="331"/>
      <c r="S373" s="331"/>
      <c r="T373" s="331"/>
      <c r="U373" s="331"/>
      <c r="V373" s="331"/>
      <c r="W373" s="331"/>
      <c r="X373" s="331"/>
      <c r="Y373" s="331"/>
      <c r="Z373" s="331"/>
      <c r="AA373" s="331"/>
      <c r="AB373" s="332"/>
      <c r="AC373" s="380">
        <f t="shared" si="238"/>
        <v>0</v>
      </c>
    </row>
    <row r="374" spans="1:36" s="10" customFormat="1" ht="57" customHeight="1">
      <c r="A374" s="397" t="s">
        <v>467</v>
      </c>
      <c r="B374" s="400" t="s">
        <v>183</v>
      </c>
      <c r="C374" s="15" t="s">
        <v>247</v>
      </c>
      <c r="D374" s="435"/>
      <c r="E374" s="435"/>
      <c r="F374" s="328"/>
      <c r="G374" s="328"/>
      <c r="H374" s="328"/>
      <c r="I374" s="328"/>
      <c r="J374" s="508">
        <f t="shared" ref="J374:AA374" si="253">+J375</f>
        <v>23626</v>
      </c>
      <c r="K374" s="508">
        <f t="shared" si="253"/>
        <v>0</v>
      </c>
      <c r="L374" s="508">
        <f t="shared" si="253"/>
        <v>0</v>
      </c>
      <c r="M374" s="508">
        <f t="shared" si="253"/>
        <v>23626</v>
      </c>
      <c r="N374" s="508">
        <f t="shared" si="253"/>
        <v>5336</v>
      </c>
      <c r="O374" s="508">
        <f t="shared" si="253"/>
        <v>0</v>
      </c>
      <c r="P374" s="508">
        <f t="shared" si="253"/>
        <v>0</v>
      </c>
      <c r="Q374" s="508">
        <f t="shared" si="253"/>
        <v>5336</v>
      </c>
      <c r="R374" s="508">
        <f t="shared" si="253"/>
        <v>5336</v>
      </c>
      <c r="S374" s="508">
        <f t="shared" si="253"/>
        <v>0</v>
      </c>
      <c r="T374" s="508">
        <f t="shared" si="253"/>
        <v>0</v>
      </c>
      <c r="U374" s="508">
        <f t="shared" si="253"/>
        <v>5336</v>
      </c>
      <c r="V374" s="508">
        <f t="shared" si="253"/>
        <v>13000</v>
      </c>
      <c r="W374" s="508">
        <f t="shared" si="253"/>
        <v>13000</v>
      </c>
      <c r="X374" s="508">
        <f t="shared" si="253"/>
        <v>13000</v>
      </c>
      <c r="Y374" s="508">
        <f t="shared" si="253"/>
        <v>0</v>
      </c>
      <c r="Z374" s="508">
        <f t="shared" si="253"/>
        <v>0</v>
      </c>
      <c r="AA374" s="508">
        <f t="shared" si="253"/>
        <v>0</v>
      </c>
      <c r="AB374" s="509"/>
      <c r="AC374" s="380">
        <f t="shared" si="238"/>
        <v>0</v>
      </c>
    </row>
    <row r="375" spans="1:36" s="8" customFormat="1" ht="59.25" customHeight="1">
      <c r="A375" s="430" t="s">
        <v>144</v>
      </c>
      <c r="B375" s="25" t="s">
        <v>292</v>
      </c>
      <c r="C375" s="15" t="s">
        <v>247</v>
      </c>
      <c r="D375" s="13">
        <v>7888436</v>
      </c>
      <c r="E375" s="13">
        <v>283</v>
      </c>
      <c r="F375" s="13" t="s">
        <v>293</v>
      </c>
      <c r="G375" s="13"/>
      <c r="H375" s="13" t="s">
        <v>207</v>
      </c>
      <c r="I375" s="13" t="s">
        <v>294</v>
      </c>
      <c r="J375" s="28">
        <f>SUM(K375:M375)</f>
        <v>23626</v>
      </c>
      <c r="K375" s="28">
        <v>0</v>
      </c>
      <c r="L375" s="28">
        <v>0</v>
      </c>
      <c r="M375" s="399">
        <v>23626</v>
      </c>
      <c r="N375" s="28">
        <f>SUM(O375:Q375)</f>
        <v>5336</v>
      </c>
      <c r="O375" s="28">
        <v>0</v>
      </c>
      <c r="P375" s="28">
        <v>0</v>
      </c>
      <c r="Q375" s="12">
        <v>5336</v>
      </c>
      <c r="R375" s="28">
        <f>SUM(S375:U375)</f>
        <v>5336</v>
      </c>
      <c r="S375" s="28">
        <v>0</v>
      </c>
      <c r="T375" s="28">
        <v>0</v>
      </c>
      <c r="U375" s="12">
        <v>5336</v>
      </c>
      <c r="V375" s="407">
        <v>13000</v>
      </c>
      <c r="W375" s="407">
        <f>SUM(X375:AA375)</f>
        <v>13000</v>
      </c>
      <c r="X375" s="407">
        <v>13000</v>
      </c>
      <c r="Y375" s="407"/>
      <c r="Z375" s="407"/>
      <c r="AA375" s="407"/>
      <c r="AB375" s="108" t="s">
        <v>1639</v>
      </c>
      <c r="AC375" s="380">
        <f t="shared" si="238"/>
        <v>0</v>
      </c>
      <c r="AJ375" s="8" t="s">
        <v>685</v>
      </c>
    </row>
    <row r="376" spans="1:36" s="417" customFormat="1" ht="28.5" customHeight="1">
      <c r="A376" s="327" t="s">
        <v>1306</v>
      </c>
      <c r="B376" s="413" t="s">
        <v>1307</v>
      </c>
      <c r="C376" s="15" t="s">
        <v>247</v>
      </c>
      <c r="D376" s="494"/>
      <c r="E376" s="494"/>
      <c r="F376" s="494"/>
      <c r="G376" s="494"/>
      <c r="H376" s="494"/>
      <c r="I376" s="327"/>
      <c r="J376" s="331"/>
      <c r="K376" s="331"/>
      <c r="L376" s="331"/>
      <c r="M376" s="331"/>
      <c r="N376" s="331"/>
      <c r="O376" s="331"/>
      <c r="P376" s="331"/>
      <c r="Q376" s="331"/>
      <c r="R376" s="331"/>
      <c r="S376" s="331"/>
      <c r="T376" s="331"/>
      <c r="U376" s="331"/>
      <c r="V376" s="331"/>
      <c r="W376" s="331"/>
      <c r="X376" s="331"/>
      <c r="Y376" s="331"/>
      <c r="Z376" s="331"/>
      <c r="AA376" s="331"/>
      <c r="AB376" s="332"/>
      <c r="AC376" s="380">
        <f t="shared" si="238"/>
        <v>0</v>
      </c>
    </row>
    <row r="377" spans="1:36" s="231" customFormat="1" ht="36" customHeight="1">
      <c r="A377" s="426" t="s">
        <v>1335</v>
      </c>
      <c r="B377" s="305" t="s">
        <v>450</v>
      </c>
      <c r="C377" s="305" t="s">
        <v>450</v>
      </c>
      <c r="D377" s="320"/>
      <c r="E377" s="320"/>
      <c r="F377" s="320"/>
      <c r="G377" s="320"/>
      <c r="H377" s="320"/>
      <c r="I377" s="320"/>
      <c r="J377" s="609">
        <f t="shared" ref="J377:AA377" si="254">+J378</f>
        <v>19926</v>
      </c>
      <c r="K377" s="609">
        <f t="shared" si="254"/>
        <v>0</v>
      </c>
      <c r="L377" s="609">
        <f t="shared" si="254"/>
        <v>0</v>
      </c>
      <c r="M377" s="609">
        <f t="shared" si="254"/>
        <v>19926</v>
      </c>
      <c r="N377" s="609">
        <f t="shared" si="254"/>
        <v>13000</v>
      </c>
      <c r="O377" s="609">
        <f t="shared" si="254"/>
        <v>0</v>
      </c>
      <c r="P377" s="609">
        <f t="shared" si="254"/>
        <v>0</v>
      </c>
      <c r="Q377" s="609">
        <f t="shared" si="254"/>
        <v>13000</v>
      </c>
      <c r="R377" s="609">
        <f t="shared" si="254"/>
        <v>15009</v>
      </c>
      <c r="S377" s="609">
        <f t="shared" si="254"/>
        <v>0</v>
      </c>
      <c r="T377" s="609">
        <f t="shared" si="254"/>
        <v>0</v>
      </c>
      <c r="U377" s="609">
        <f t="shared" si="254"/>
        <v>15009</v>
      </c>
      <c r="V377" s="609">
        <f t="shared" si="254"/>
        <v>4917</v>
      </c>
      <c r="W377" s="609">
        <f t="shared" si="254"/>
        <v>4917</v>
      </c>
      <c r="X377" s="609">
        <f t="shared" si="254"/>
        <v>0</v>
      </c>
      <c r="Y377" s="609">
        <f t="shared" si="254"/>
        <v>4917</v>
      </c>
      <c r="Z377" s="609">
        <f t="shared" si="254"/>
        <v>0</v>
      </c>
      <c r="AA377" s="609">
        <f t="shared" si="254"/>
        <v>0</v>
      </c>
      <c r="AB377" s="610"/>
      <c r="AC377" s="380">
        <f t="shared" si="238"/>
        <v>0</v>
      </c>
    </row>
    <row r="378" spans="1:36" s="10" customFormat="1" ht="32.25" customHeight="1">
      <c r="A378" s="393" t="s">
        <v>1321</v>
      </c>
      <c r="B378" s="394" t="s">
        <v>38</v>
      </c>
      <c r="C378" s="101" t="s">
        <v>450</v>
      </c>
      <c r="D378" s="394"/>
      <c r="E378" s="394"/>
      <c r="F378" s="419"/>
      <c r="G378" s="419"/>
      <c r="H378" s="420"/>
      <c r="I378" s="421"/>
      <c r="J378" s="453">
        <f t="shared" ref="J378:AA378" si="255">J380+J382+J379</f>
        <v>19926</v>
      </c>
      <c r="K378" s="453">
        <f t="shared" si="255"/>
        <v>0</v>
      </c>
      <c r="L378" s="453">
        <f t="shared" si="255"/>
        <v>0</v>
      </c>
      <c r="M378" s="453">
        <f t="shared" si="255"/>
        <v>19926</v>
      </c>
      <c r="N378" s="453">
        <f t="shared" si="255"/>
        <v>13000</v>
      </c>
      <c r="O378" s="453">
        <f t="shared" si="255"/>
        <v>0</v>
      </c>
      <c r="P378" s="453">
        <f t="shared" si="255"/>
        <v>0</v>
      </c>
      <c r="Q378" s="453">
        <f t="shared" si="255"/>
        <v>13000</v>
      </c>
      <c r="R378" s="453">
        <f t="shared" si="255"/>
        <v>15009</v>
      </c>
      <c r="S378" s="453">
        <f t="shared" si="255"/>
        <v>0</v>
      </c>
      <c r="T378" s="453">
        <f t="shared" si="255"/>
        <v>0</v>
      </c>
      <c r="U378" s="453">
        <f t="shared" si="255"/>
        <v>15009</v>
      </c>
      <c r="V378" s="453">
        <f t="shared" si="255"/>
        <v>4917</v>
      </c>
      <c r="W378" s="453">
        <f t="shared" si="255"/>
        <v>4917</v>
      </c>
      <c r="X378" s="453">
        <f t="shared" si="255"/>
        <v>0</v>
      </c>
      <c r="Y378" s="453">
        <f t="shared" si="255"/>
        <v>4917</v>
      </c>
      <c r="Z378" s="453">
        <f t="shared" si="255"/>
        <v>0</v>
      </c>
      <c r="AA378" s="453">
        <f t="shared" si="255"/>
        <v>0</v>
      </c>
      <c r="AB378" s="454"/>
      <c r="AC378" s="380">
        <f t="shared" si="238"/>
        <v>0</v>
      </c>
    </row>
    <row r="379" spans="1:36" s="10" customFormat="1" ht="39.75" customHeight="1">
      <c r="A379" s="332" t="s">
        <v>39</v>
      </c>
      <c r="B379" s="326" t="s">
        <v>1254</v>
      </c>
      <c r="C379" s="101" t="s">
        <v>450</v>
      </c>
      <c r="D379" s="554"/>
      <c r="E379" s="332"/>
      <c r="F379" s="471"/>
      <c r="G379" s="471"/>
      <c r="H379" s="332"/>
      <c r="I379" s="471"/>
      <c r="J379" s="331"/>
      <c r="K379" s="331"/>
      <c r="L379" s="331"/>
      <c r="M379" s="331"/>
      <c r="N379" s="331"/>
      <c r="O379" s="331"/>
      <c r="P379" s="331"/>
      <c r="Q379" s="331"/>
      <c r="R379" s="331"/>
      <c r="S379" s="331"/>
      <c r="T379" s="331"/>
      <c r="U379" s="331"/>
      <c r="V379" s="331"/>
      <c r="W379" s="331"/>
      <c r="X379" s="331"/>
      <c r="Y379" s="331"/>
      <c r="Z379" s="331"/>
      <c r="AA379" s="331"/>
      <c r="AB379" s="332"/>
      <c r="AC379" s="380">
        <f t="shared" si="238"/>
        <v>0</v>
      </c>
    </row>
    <row r="380" spans="1:36" s="10" customFormat="1" ht="50.25" customHeight="1">
      <c r="A380" s="397" t="s">
        <v>467</v>
      </c>
      <c r="B380" s="400" t="s">
        <v>183</v>
      </c>
      <c r="C380" s="101" t="s">
        <v>450</v>
      </c>
      <c r="D380" s="400"/>
      <c r="E380" s="400"/>
      <c r="F380" s="424"/>
      <c r="G380" s="424"/>
      <c r="H380" s="425"/>
      <c r="I380" s="328"/>
      <c r="J380" s="436">
        <f t="shared" ref="J380:AA380" si="256">SUM(J381:J381)</f>
        <v>19926</v>
      </c>
      <c r="K380" s="436">
        <f t="shared" si="256"/>
        <v>0</v>
      </c>
      <c r="L380" s="436">
        <f t="shared" si="256"/>
        <v>0</v>
      </c>
      <c r="M380" s="436">
        <f t="shared" si="256"/>
        <v>19926</v>
      </c>
      <c r="N380" s="436">
        <f t="shared" si="256"/>
        <v>13000</v>
      </c>
      <c r="O380" s="436">
        <f t="shared" si="256"/>
        <v>0</v>
      </c>
      <c r="P380" s="436">
        <f t="shared" si="256"/>
        <v>0</v>
      </c>
      <c r="Q380" s="436">
        <f t="shared" si="256"/>
        <v>13000</v>
      </c>
      <c r="R380" s="436">
        <f t="shared" si="256"/>
        <v>15009</v>
      </c>
      <c r="S380" s="436">
        <f t="shared" si="256"/>
        <v>0</v>
      </c>
      <c r="T380" s="436">
        <f t="shared" si="256"/>
        <v>0</v>
      </c>
      <c r="U380" s="436">
        <f t="shared" si="256"/>
        <v>15009</v>
      </c>
      <c r="V380" s="436">
        <f t="shared" si="256"/>
        <v>4917</v>
      </c>
      <c r="W380" s="436">
        <f t="shared" si="256"/>
        <v>4917</v>
      </c>
      <c r="X380" s="436">
        <f t="shared" si="256"/>
        <v>0</v>
      </c>
      <c r="Y380" s="436">
        <f t="shared" si="256"/>
        <v>4917</v>
      </c>
      <c r="Z380" s="436">
        <f t="shared" si="256"/>
        <v>0</v>
      </c>
      <c r="AA380" s="436">
        <f t="shared" si="256"/>
        <v>0</v>
      </c>
      <c r="AB380" s="437"/>
      <c r="AC380" s="380">
        <f t="shared" si="238"/>
        <v>0</v>
      </c>
    </row>
    <row r="381" spans="1:36" s="8" customFormat="1" ht="59.25" customHeight="1">
      <c r="A381" s="430" t="s">
        <v>144</v>
      </c>
      <c r="B381" s="654" t="s">
        <v>452</v>
      </c>
      <c r="C381" s="101" t="s">
        <v>450</v>
      </c>
      <c r="D381" s="537">
        <v>7886246</v>
      </c>
      <c r="E381" s="456" t="s">
        <v>313</v>
      </c>
      <c r="F381" s="18" t="s">
        <v>453</v>
      </c>
      <c r="G381" s="11" t="s">
        <v>186</v>
      </c>
      <c r="H381" s="309" t="s">
        <v>454</v>
      </c>
      <c r="I381" s="406" t="s">
        <v>455</v>
      </c>
      <c r="J381" s="457">
        <f>SUM(K381:M381)</f>
        <v>19926</v>
      </c>
      <c r="K381" s="12"/>
      <c r="L381" s="12"/>
      <c r="M381" s="457">
        <v>19926</v>
      </c>
      <c r="N381" s="12">
        <f>SUM(O381:Q381)</f>
        <v>13000</v>
      </c>
      <c r="O381" s="12"/>
      <c r="P381" s="12"/>
      <c r="Q381" s="24">
        <v>13000</v>
      </c>
      <c r="R381" s="24">
        <f>SUM(S381:U381)</f>
        <v>15009</v>
      </c>
      <c r="S381" s="12"/>
      <c r="T381" s="12"/>
      <c r="U381" s="24">
        <f>2180+12829</f>
        <v>15009</v>
      </c>
      <c r="V381" s="407">
        <v>4917</v>
      </c>
      <c r="W381" s="12">
        <f>SUM(X381:AA381)</f>
        <v>4917</v>
      </c>
      <c r="X381" s="12"/>
      <c r="Y381" s="12">
        <v>4917</v>
      </c>
      <c r="Z381" s="12"/>
      <c r="AA381" s="12"/>
      <c r="AB381" s="636" t="s">
        <v>1622</v>
      </c>
      <c r="AC381" s="380">
        <f t="shared" si="238"/>
        <v>0</v>
      </c>
      <c r="AJ381" s="8" t="s">
        <v>685</v>
      </c>
    </row>
    <row r="382" spans="1:36" s="417" customFormat="1" ht="28.5" customHeight="1">
      <c r="A382" s="327" t="s">
        <v>1306</v>
      </c>
      <c r="B382" s="413" t="s">
        <v>1307</v>
      </c>
      <c r="C382" s="101" t="s">
        <v>450</v>
      </c>
      <c r="D382" s="494"/>
      <c r="E382" s="494"/>
      <c r="F382" s="494"/>
      <c r="G382" s="494"/>
      <c r="H382" s="494"/>
      <c r="I382" s="327"/>
      <c r="J382" s="331"/>
      <c r="K382" s="331"/>
      <c r="L382" s="331"/>
      <c r="M382" s="331"/>
      <c r="N382" s="331"/>
      <c r="O382" s="331"/>
      <c r="P382" s="331"/>
      <c r="Q382" s="331"/>
      <c r="R382" s="331"/>
      <c r="S382" s="331"/>
      <c r="T382" s="331"/>
      <c r="U382" s="331"/>
      <c r="V382" s="331"/>
      <c r="W382" s="331"/>
      <c r="X382" s="331"/>
      <c r="Y382" s="331"/>
      <c r="Z382" s="331"/>
      <c r="AA382" s="331"/>
      <c r="AB382" s="332"/>
      <c r="AC382" s="380">
        <f t="shared" si="238"/>
        <v>0</v>
      </c>
    </row>
    <row r="383" spans="1:36" s="231" customFormat="1" ht="32.25" customHeight="1">
      <c r="A383" s="426" t="s">
        <v>1336</v>
      </c>
      <c r="B383" s="655" t="s">
        <v>503</v>
      </c>
      <c r="C383" s="655" t="s">
        <v>503</v>
      </c>
      <c r="D383" s="656"/>
      <c r="E383" s="462"/>
      <c r="F383" s="463"/>
      <c r="G383" s="318"/>
      <c r="H383" s="311"/>
      <c r="I383" s="610"/>
      <c r="J383" s="465">
        <f t="shared" ref="J383:AA383" si="257">+J384</f>
        <v>2585.8000000000002</v>
      </c>
      <c r="K383" s="465">
        <f t="shared" si="257"/>
        <v>0</v>
      </c>
      <c r="L383" s="465">
        <f t="shared" si="257"/>
        <v>0</v>
      </c>
      <c r="M383" s="465">
        <f t="shared" si="257"/>
        <v>2585.8000000000002</v>
      </c>
      <c r="N383" s="465">
        <f t="shared" si="257"/>
        <v>830.15500000000009</v>
      </c>
      <c r="O383" s="465">
        <f t="shared" si="257"/>
        <v>0</v>
      </c>
      <c r="P383" s="465">
        <f t="shared" si="257"/>
        <v>0</v>
      </c>
      <c r="Q383" s="465">
        <f t="shared" si="257"/>
        <v>830.15500000000009</v>
      </c>
      <c r="R383" s="465">
        <f t="shared" si="257"/>
        <v>1600</v>
      </c>
      <c r="S383" s="465">
        <f t="shared" si="257"/>
        <v>0</v>
      </c>
      <c r="T383" s="465">
        <f t="shared" si="257"/>
        <v>0</v>
      </c>
      <c r="U383" s="465">
        <f t="shared" si="257"/>
        <v>1600</v>
      </c>
      <c r="V383" s="465">
        <f t="shared" si="257"/>
        <v>887</v>
      </c>
      <c r="W383" s="465">
        <f t="shared" si="257"/>
        <v>435.1</v>
      </c>
      <c r="X383" s="465">
        <f t="shared" si="257"/>
        <v>435.1</v>
      </c>
      <c r="Y383" s="465">
        <f t="shared" si="257"/>
        <v>0</v>
      </c>
      <c r="Z383" s="465">
        <f t="shared" si="257"/>
        <v>0</v>
      </c>
      <c r="AA383" s="465">
        <f t="shared" si="257"/>
        <v>0</v>
      </c>
      <c r="AB383" s="466"/>
      <c r="AC383" s="380">
        <f t="shared" si="238"/>
        <v>0</v>
      </c>
    </row>
    <row r="384" spans="1:36" s="10" customFormat="1" ht="27.75" customHeight="1">
      <c r="A384" s="393" t="s">
        <v>1322</v>
      </c>
      <c r="B384" s="394" t="s">
        <v>38</v>
      </c>
      <c r="C384" s="43" t="s">
        <v>503</v>
      </c>
      <c r="D384" s="394"/>
      <c r="E384" s="394"/>
      <c r="F384" s="419"/>
      <c r="G384" s="419"/>
      <c r="H384" s="420"/>
      <c r="I384" s="421"/>
      <c r="J384" s="453">
        <f t="shared" ref="J384:AA384" si="258">J386+J385+J391</f>
        <v>2585.8000000000002</v>
      </c>
      <c r="K384" s="453">
        <f t="shared" si="258"/>
        <v>0</v>
      </c>
      <c r="L384" s="453">
        <f t="shared" si="258"/>
        <v>0</v>
      </c>
      <c r="M384" s="453">
        <f t="shared" si="258"/>
        <v>2585.8000000000002</v>
      </c>
      <c r="N384" s="453">
        <f t="shared" si="258"/>
        <v>830.15500000000009</v>
      </c>
      <c r="O384" s="453">
        <f t="shared" si="258"/>
        <v>0</v>
      </c>
      <c r="P384" s="453">
        <f t="shared" si="258"/>
        <v>0</v>
      </c>
      <c r="Q384" s="453">
        <f t="shared" si="258"/>
        <v>830.15500000000009</v>
      </c>
      <c r="R384" s="453">
        <f t="shared" si="258"/>
        <v>1600</v>
      </c>
      <c r="S384" s="453">
        <f t="shared" si="258"/>
        <v>0</v>
      </c>
      <c r="T384" s="453">
        <f t="shared" si="258"/>
        <v>0</v>
      </c>
      <c r="U384" s="453">
        <f t="shared" si="258"/>
        <v>1600</v>
      </c>
      <c r="V384" s="453">
        <f t="shared" si="258"/>
        <v>887</v>
      </c>
      <c r="W384" s="453">
        <f t="shared" si="258"/>
        <v>435.1</v>
      </c>
      <c r="X384" s="453">
        <f t="shared" si="258"/>
        <v>435.1</v>
      </c>
      <c r="Y384" s="453">
        <f t="shared" si="258"/>
        <v>0</v>
      </c>
      <c r="Z384" s="453">
        <f t="shared" si="258"/>
        <v>0</v>
      </c>
      <c r="AA384" s="453">
        <f t="shared" si="258"/>
        <v>0</v>
      </c>
      <c r="AB384" s="454"/>
      <c r="AC384" s="380">
        <f t="shared" si="238"/>
        <v>0</v>
      </c>
    </row>
    <row r="385" spans="1:36" s="10" customFormat="1" ht="39.75" customHeight="1">
      <c r="A385" s="332" t="s">
        <v>39</v>
      </c>
      <c r="B385" s="326" t="s">
        <v>1254</v>
      </c>
      <c r="C385" s="43" t="s">
        <v>503</v>
      </c>
      <c r="D385" s="554"/>
      <c r="E385" s="332"/>
      <c r="F385" s="471"/>
      <c r="G385" s="471"/>
      <c r="H385" s="332"/>
      <c r="I385" s="471"/>
      <c r="J385" s="331"/>
      <c r="K385" s="331"/>
      <c r="L385" s="331"/>
      <c r="M385" s="331"/>
      <c r="N385" s="331"/>
      <c r="O385" s="331"/>
      <c r="P385" s="331"/>
      <c r="Q385" s="331"/>
      <c r="R385" s="331"/>
      <c r="S385" s="331"/>
      <c r="T385" s="331"/>
      <c r="U385" s="331"/>
      <c r="V385" s="331"/>
      <c r="W385" s="331"/>
      <c r="X385" s="331"/>
      <c r="Y385" s="331"/>
      <c r="Z385" s="331"/>
      <c r="AA385" s="331"/>
      <c r="AB385" s="332"/>
      <c r="AC385" s="380">
        <f t="shared" si="238"/>
        <v>0</v>
      </c>
    </row>
    <row r="386" spans="1:36" s="10" customFormat="1" ht="51.75" customHeight="1">
      <c r="A386" s="397" t="s">
        <v>467</v>
      </c>
      <c r="B386" s="400" t="s">
        <v>183</v>
      </c>
      <c r="C386" s="43" t="s">
        <v>503</v>
      </c>
      <c r="D386" s="657"/>
      <c r="E386" s="657"/>
      <c r="F386" s="424"/>
      <c r="G386" s="424"/>
      <c r="H386" s="425"/>
      <c r="I386" s="328"/>
      <c r="J386" s="436">
        <f t="shared" ref="J386:AA386" si="259">SUM(J387:J387)</f>
        <v>2585.8000000000002</v>
      </c>
      <c r="K386" s="436">
        <f t="shared" si="259"/>
        <v>0</v>
      </c>
      <c r="L386" s="436">
        <f t="shared" si="259"/>
        <v>0</v>
      </c>
      <c r="M386" s="436">
        <f t="shared" si="259"/>
        <v>2585.8000000000002</v>
      </c>
      <c r="N386" s="436">
        <f t="shared" si="259"/>
        <v>830.15500000000009</v>
      </c>
      <c r="O386" s="436">
        <f t="shared" si="259"/>
        <v>0</v>
      </c>
      <c r="P386" s="436">
        <f t="shared" si="259"/>
        <v>0</v>
      </c>
      <c r="Q386" s="436">
        <f t="shared" si="259"/>
        <v>830.15500000000009</v>
      </c>
      <c r="R386" s="436">
        <f t="shared" si="259"/>
        <v>1600</v>
      </c>
      <c r="S386" s="436">
        <f t="shared" si="259"/>
        <v>0</v>
      </c>
      <c r="T386" s="436">
        <f t="shared" si="259"/>
        <v>0</v>
      </c>
      <c r="U386" s="436">
        <f t="shared" si="259"/>
        <v>1600</v>
      </c>
      <c r="V386" s="436">
        <f t="shared" si="259"/>
        <v>887</v>
      </c>
      <c r="W386" s="436">
        <f>SUM(W387:W387)</f>
        <v>435.1</v>
      </c>
      <c r="X386" s="436">
        <f t="shared" si="259"/>
        <v>435.1</v>
      </c>
      <c r="Y386" s="436">
        <f t="shared" si="259"/>
        <v>0</v>
      </c>
      <c r="Z386" s="436">
        <f t="shared" si="259"/>
        <v>0</v>
      </c>
      <c r="AA386" s="436">
        <f t="shared" si="259"/>
        <v>0</v>
      </c>
      <c r="AB386" s="437"/>
      <c r="AC386" s="380">
        <f t="shared" si="238"/>
        <v>0</v>
      </c>
    </row>
    <row r="387" spans="1:36" s="8" customFormat="1" ht="49.5" customHeight="1">
      <c r="A387" s="430" t="s">
        <v>144</v>
      </c>
      <c r="B387" s="43" t="s">
        <v>504</v>
      </c>
      <c r="C387" s="43" t="s">
        <v>503</v>
      </c>
      <c r="D387" s="537"/>
      <c r="E387" s="456"/>
      <c r="F387" s="18"/>
      <c r="G387" s="11"/>
      <c r="H387" s="309"/>
      <c r="I387" s="406"/>
      <c r="J387" s="457">
        <f t="shared" ref="J387:AA387" si="260">+SUM(J388:J390)</f>
        <v>2585.8000000000002</v>
      </c>
      <c r="K387" s="457">
        <f t="shared" si="260"/>
        <v>0</v>
      </c>
      <c r="L387" s="457">
        <f t="shared" si="260"/>
        <v>0</v>
      </c>
      <c r="M387" s="457">
        <f t="shared" si="260"/>
        <v>2585.8000000000002</v>
      </c>
      <c r="N387" s="457">
        <f t="shared" si="260"/>
        <v>830.15500000000009</v>
      </c>
      <c r="O387" s="457">
        <f t="shared" si="260"/>
        <v>0</v>
      </c>
      <c r="P387" s="457">
        <f t="shared" si="260"/>
        <v>0</v>
      </c>
      <c r="Q387" s="457">
        <f t="shared" si="260"/>
        <v>830.15500000000009</v>
      </c>
      <c r="R387" s="457">
        <f t="shared" si="260"/>
        <v>1600</v>
      </c>
      <c r="S387" s="457">
        <f t="shared" si="260"/>
        <v>0</v>
      </c>
      <c r="T387" s="457">
        <f t="shared" si="260"/>
        <v>0</v>
      </c>
      <c r="U387" s="457">
        <f t="shared" si="260"/>
        <v>1600</v>
      </c>
      <c r="V387" s="457">
        <f t="shared" si="260"/>
        <v>887</v>
      </c>
      <c r="W387" s="457">
        <f t="shared" si="260"/>
        <v>435.1</v>
      </c>
      <c r="X387" s="457">
        <f t="shared" si="260"/>
        <v>435.1</v>
      </c>
      <c r="Y387" s="457">
        <f t="shared" si="260"/>
        <v>0</v>
      </c>
      <c r="Z387" s="457">
        <f t="shared" si="260"/>
        <v>0</v>
      </c>
      <c r="AA387" s="457">
        <f t="shared" si="260"/>
        <v>0</v>
      </c>
      <c r="AB387" s="108" t="s">
        <v>1639</v>
      </c>
      <c r="AC387" s="380">
        <f t="shared" si="238"/>
        <v>0</v>
      </c>
      <c r="AJ387" s="8" t="s">
        <v>685</v>
      </c>
    </row>
    <row r="388" spans="1:36" s="8" customFormat="1" ht="38.25" customHeight="1">
      <c r="A388" s="430" t="s">
        <v>502</v>
      </c>
      <c r="B388" s="43" t="s">
        <v>505</v>
      </c>
      <c r="C388" s="43" t="s">
        <v>503</v>
      </c>
      <c r="D388" s="658" t="s">
        <v>506</v>
      </c>
      <c r="E388" s="626"/>
      <c r="F388" s="21" t="s">
        <v>656</v>
      </c>
      <c r="G388" s="21" t="s">
        <v>186</v>
      </c>
      <c r="H388" s="20" t="s">
        <v>299</v>
      </c>
      <c r="I388" s="21" t="s">
        <v>507</v>
      </c>
      <c r="J388" s="19">
        <v>1021</v>
      </c>
      <c r="K388" s="19"/>
      <c r="L388" s="12"/>
      <c r="M388" s="19">
        <v>1021</v>
      </c>
      <c r="N388" s="12">
        <v>127.55500000000001</v>
      </c>
      <c r="O388" s="12"/>
      <c r="P388" s="12"/>
      <c r="Q388" s="12">
        <v>127.55500000000001</v>
      </c>
      <c r="R388" s="12">
        <v>477</v>
      </c>
      <c r="S388" s="12"/>
      <c r="T388" s="12"/>
      <c r="U388" s="12">
        <v>477</v>
      </c>
      <c r="V388" s="19">
        <v>544</v>
      </c>
      <c r="W388" s="12">
        <f>SUM(X388:AA388)</f>
        <v>206</v>
      </c>
      <c r="X388" s="12">
        <v>206</v>
      </c>
      <c r="Y388" s="12"/>
      <c r="Z388" s="12"/>
      <c r="AA388" s="12"/>
      <c r="AB388" s="108"/>
      <c r="AC388" s="380">
        <f t="shared" si="238"/>
        <v>0</v>
      </c>
    </row>
    <row r="389" spans="1:36" s="8" customFormat="1" ht="38.25" customHeight="1">
      <c r="A389" s="430" t="s">
        <v>502</v>
      </c>
      <c r="B389" s="43" t="s">
        <v>508</v>
      </c>
      <c r="C389" s="43" t="s">
        <v>503</v>
      </c>
      <c r="D389" s="658" t="s">
        <v>509</v>
      </c>
      <c r="E389" s="626"/>
      <c r="F389" s="21" t="s">
        <v>510</v>
      </c>
      <c r="G389" s="21" t="s">
        <v>186</v>
      </c>
      <c r="H389" s="20" t="s">
        <v>240</v>
      </c>
      <c r="I389" s="21" t="s">
        <v>511</v>
      </c>
      <c r="J389" s="19">
        <v>1059</v>
      </c>
      <c r="K389" s="19"/>
      <c r="L389" s="12"/>
      <c r="M389" s="19">
        <v>1059</v>
      </c>
      <c r="N389" s="12">
        <v>464</v>
      </c>
      <c r="O389" s="12"/>
      <c r="P389" s="12"/>
      <c r="Q389" s="12">
        <v>464</v>
      </c>
      <c r="R389" s="12">
        <v>757</v>
      </c>
      <c r="S389" s="12"/>
      <c r="T389" s="12"/>
      <c r="U389" s="12">
        <v>757</v>
      </c>
      <c r="V389" s="19">
        <v>203</v>
      </c>
      <c r="W389" s="12">
        <f t="shared" ref="W389:W390" si="261">SUM(X389:AA389)</f>
        <v>159</v>
      </c>
      <c r="X389" s="12">
        <v>159</v>
      </c>
      <c r="Y389" s="12"/>
      <c r="Z389" s="12"/>
      <c r="AA389" s="12"/>
      <c r="AB389" s="108"/>
      <c r="AC389" s="380">
        <f t="shared" si="238"/>
        <v>0</v>
      </c>
    </row>
    <row r="390" spans="1:36" s="8" customFormat="1" ht="51.75" customHeight="1">
      <c r="A390" s="430" t="s">
        <v>502</v>
      </c>
      <c r="B390" s="43" t="s">
        <v>512</v>
      </c>
      <c r="C390" s="43" t="s">
        <v>503</v>
      </c>
      <c r="D390" s="658" t="s">
        <v>513</v>
      </c>
      <c r="E390" s="626"/>
      <c r="F390" s="21" t="s">
        <v>514</v>
      </c>
      <c r="G390" s="21" t="s">
        <v>186</v>
      </c>
      <c r="H390" s="20" t="s">
        <v>240</v>
      </c>
      <c r="I390" s="21" t="s">
        <v>511</v>
      </c>
      <c r="J390" s="19">
        <v>505.8</v>
      </c>
      <c r="K390" s="19"/>
      <c r="L390" s="12"/>
      <c r="M390" s="19">
        <v>505.8</v>
      </c>
      <c r="N390" s="12">
        <v>238.6</v>
      </c>
      <c r="O390" s="12"/>
      <c r="P390" s="12"/>
      <c r="Q390" s="12">
        <v>238.6</v>
      </c>
      <c r="R390" s="12">
        <v>366</v>
      </c>
      <c r="S390" s="12"/>
      <c r="T390" s="12"/>
      <c r="U390" s="12">
        <v>366</v>
      </c>
      <c r="V390" s="19">
        <v>140</v>
      </c>
      <c r="W390" s="12">
        <f t="shared" si="261"/>
        <v>70.099999999999994</v>
      </c>
      <c r="X390" s="12">
        <v>70.099999999999994</v>
      </c>
      <c r="Y390" s="12"/>
      <c r="Z390" s="12"/>
      <c r="AA390" s="12"/>
      <c r="AB390" s="108"/>
      <c r="AC390" s="380">
        <f t="shared" si="238"/>
        <v>0</v>
      </c>
    </row>
    <row r="391" spans="1:36" s="417" customFormat="1" ht="28.5" customHeight="1">
      <c r="A391" s="327" t="s">
        <v>1306</v>
      </c>
      <c r="B391" s="413" t="s">
        <v>1307</v>
      </c>
      <c r="C391" s="43" t="s">
        <v>503</v>
      </c>
      <c r="D391" s="494"/>
      <c r="E391" s="494"/>
      <c r="F391" s="494"/>
      <c r="G391" s="494"/>
      <c r="H391" s="494"/>
      <c r="I391" s="327"/>
      <c r="J391" s="331"/>
      <c r="K391" s="331"/>
      <c r="L391" s="331"/>
      <c r="M391" s="331"/>
      <c r="N391" s="331"/>
      <c r="O391" s="331"/>
      <c r="P391" s="331"/>
      <c r="Q391" s="331"/>
      <c r="R391" s="331"/>
      <c r="S391" s="331"/>
      <c r="T391" s="331"/>
      <c r="U391" s="331"/>
      <c r="V391" s="331"/>
      <c r="W391" s="331"/>
      <c r="X391" s="331"/>
      <c r="Y391" s="331"/>
      <c r="Z391" s="331"/>
      <c r="AA391" s="331"/>
      <c r="AB391" s="332"/>
      <c r="AC391" s="380">
        <f t="shared" si="238"/>
        <v>0</v>
      </c>
    </row>
    <row r="392" spans="1:36" s="231" customFormat="1" ht="32.25" customHeight="1">
      <c r="A392" s="426" t="s">
        <v>1337</v>
      </c>
      <c r="B392" s="655" t="s">
        <v>515</v>
      </c>
      <c r="C392" s="655" t="s">
        <v>515</v>
      </c>
      <c r="D392" s="656"/>
      <c r="E392" s="462"/>
      <c r="F392" s="463"/>
      <c r="G392" s="318"/>
      <c r="H392" s="311"/>
      <c r="I392" s="610"/>
      <c r="J392" s="465">
        <f t="shared" ref="J392:AA392" si="262">+J393</f>
        <v>2793</v>
      </c>
      <c r="K392" s="465">
        <f t="shared" si="262"/>
        <v>0</v>
      </c>
      <c r="L392" s="465">
        <f t="shared" si="262"/>
        <v>0</v>
      </c>
      <c r="M392" s="465">
        <f t="shared" si="262"/>
        <v>2793</v>
      </c>
      <c r="N392" s="465">
        <f t="shared" si="262"/>
        <v>1932</v>
      </c>
      <c r="O392" s="465">
        <f t="shared" si="262"/>
        <v>0</v>
      </c>
      <c r="P392" s="465">
        <f t="shared" si="262"/>
        <v>0</v>
      </c>
      <c r="Q392" s="465">
        <f t="shared" si="262"/>
        <v>1932</v>
      </c>
      <c r="R392" s="465">
        <f t="shared" si="262"/>
        <v>2401</v>
      </c>
      <c r="S392" s="465">
        <f t="shared" si="262"/>
        <v>0</v>
      </c>
      <c r="T392" s="465">
        <f t="shared" si="262"/>
        <v>0</v>
      </c>
      <c r="U392" s="465">
        <f t="shared" si="262"/>
        <v>2401</v>
      </c>
      <c r="V392" s="465">
        <f t="shared" si="262"/>
        <v>861</v>
      </c>
      <c r="W392" s="465">
        <f t="shared" si="262"/>
        <v>392</v>
      </c>
      <c r="X392" s="465">
        <f t="shared" si="262"/>
        <v>392</v>
      </c>
      <c r="Y392" s="465">
        <f t="shared" si="262"/>
        <v>0</v>
      </c>
      <c r="Z392" s="465">
        <f t="shared" si="262"/>
        <v>0</v>
      </c>
      <c r="AA392" s="465">
        <f t="shared" si="262"/>
        <v>0</v>
      </c>
      <c r="AB392" s="466"/>
      <c r="AC392" s="380">
        <f t="shared" si="238"/>
        <v>0</v>
      </c>
    </row>
    <row r="393" spans="1:36" s="10" customFormat="1" ht="27.75" customHeight="1">
      <c r="A393" s="393" t="s">
        <v>1323</v>
      </c>
      <c r="B393" s="394" t="s">
        <v>38</v>
      </c>
      <c r="C393" s="43" t="s">
        <v>515</v>
      </c>
      <c r="D393" s="394"/>
      <c r="E393" s="394"/>
      <c r="F393" s="419"/>
      <c r="G393" s="419"/>
      <c r="H393" s="420"/>
      <c r="I393" s="421"/>
      <c r="J393" s="453">
        <f t="shared" ref="J393:AA393" si="263">J395+J394+J399</f>
        <v>2793</v>
      </c>
      <c r="K393" s="453">
        <f t="shared" si="263"/>
        <v>0</v>
      </c>
      <c r="L393" s="453">
        <f t="shared" si="263"/>
        <v>0</v>
      </c>
      <c r="M393" s="453">
        <f t="shared" si="263"/>
        <v>2793</v>
      </c>
      <c r="N393" s="453">
        <f t="shared" si="263"/>
        <v>1932</v>
      </c>
      <c r="O393" s="453">
        <f t="shared" si="263"/>
        <v>0</v>
      </c>
      <c r="P393" s="453">
        <f t="shared" si="263"/>
        <v>0</v>
      </c>
      <c r="Q393" s="453">
        <f t="shared" si="263"/>
        <v>1932</v>
      </c>
      <c r="R393" s="453">
        <f t="shared" si="263"/>
        <v>2401</v>
      </c>
      <c r="S393" s="453">
        <f t="shared" si="263"/>
        <v>0</v>
      </c>
      <c r="T393" s="453">
        <f t="shared" si="263"/>
        <v>0</v>
      </c>
      <c r="U393" s="453">
        <f t="shared" si="263"/>
        <v>2401</v>
      </c>
      <c r="V393" s="453">
        <f t="shared" si="263"/>
        <v>861</v>
      </c>
      <c r="W393" s="453">
        <f t="shared" si="263"/>
        <v>392</v>
      </c>
      <c r="X393" s="453">
        <f t="shared" si="263"/>
        <v>392</v>
      </c>
      <c r="Y393" s="453">
        <f t="shared" si="263"/>
        <v>0</v>
      </c>
      <c r="Z393" s="453">
        <f t="shared" si="263"/>
        <v>0</v>
      </c>
      <c r="AA393" s="453">
        <f t="shared" si="263"/>
        <v>0</v>
      </c>
      <c r="AB393" s="454"/>
      <c r="AC393" s="380">
        <f t="shared" si="238"/>
        <v>0</v>
      </c>
    </row>
    <row r="394" spans="1:36" s="10" customFormat="1" ht="39.75" customHeight="1">
      <c r="A394" s="332" t="s">
        <v>39</v>
      </c>
      <c r="B394" s="326" t="s">
        <v>1254</v>
      </c>
      <c r="C394" s="43" t="s">
        <v>515</v>
      </c>
      <c r="D394" s="554"/>
      <c r="E394" s="332"/>
      <c r="F394" s="471"/>
      <c r="G394" s="471"/>
      <c r="H394" s="332"/>
      <c r="I394" s="471"/>
      <c r="J394" s="331"/>
      <c r="K394" s="331"/>
      <c r="L394" s="331"/>
      <c r="M394" s="331"/>
      <c r="N394" s="331"/>
      <c r="O394" s="331"/>
      <c r="P394" s="331"/>
      <c r="Q394" s="331"/>
      <c r="R394" s="331"/>
      <c r="S394" s="331"/>
      <c r="T394" s="331"/>
      <c r="U394" s="331"/>
      <c r="V394" s="331"/>
      <c r="W394" s="331"/>
      <c r="X394" s="331"/>
      <c r="Y394" s="331"/>
      <c r="Z394" s="331"/>
      <c r="AA394" s="331"/>
      <c r="AB394" s="332"/>
      <c r="AC394" s="380">
        <f t="shared" si="238"/>
        <v>0</v>
      </c>
    </row>
    <row r="395" spans="1:36" s="10" customFormat="1" ht="48.75" customHeight="1">
      <c r="A395" s="397" t="s">
        <v>467</v>
      </c>
      <c r="B395" s="400" t="s">
        <v>183</v>
      </c>
      <c r="C395" s="43" t="s">
        <v>515</v>
      </c>
      <c r="D395" s="657"/>
      <c r="E395" s="657"/>
      <c r="F395" s="424"/>
      <c r="G395" s="424"/>
      <c r="H395" s="425"/>
      <c r="I395" s="328"/>
      <c r="J395" s="436">
        <f t="shared" ref="J395:AA395" si="264">SUM(J396:J396)</f>
        <v>2793</v>
      </c>
      <c r="K395" s="436">
        <f t="shared" si="264"/>
        <v>0</v>
      </c>
      <c r="L395" s="436">
        <f t="shared" si="264"/>
        <v>0</v>
      </c>
      <c r="M395" s="436">
        <f t="shared" si="264"/>
        <v>2793</v>
      </c>
      <c r="N395" s="436">
        <f t="shared" si="264"/>
        <v>1932</v>
      </c>
      <c r="O395" s="436">
        <f t="shared" si="264"/>
        <v>0</v>
      </c>
      <c r="P395" s="436">
        <f t="shared" si="264"/>
        <v>0</v>
      </c>
      <c r="Q395" s="436">
        <f t="shared" si="264"/>
        <v>1932</v>
      </c>
      <c r="R395" s="436">
        <f t="shared" si="264"/>
        <v>2401</v>
      </c>
      <c r="S395" s="436">
        <f t="shared" si="264"/>
        <v>0</v>
      </c>
      <c r="T395" s="436">
        <f t="shared" si="264"/>
        <v>0</v>
      </c>
      <c r="U395" s="436">
        <f t="shared" si="264"/>
        <v>2401</v>
      </c>
      <c r="V395" s="436">
        <f t="shared" si="264"/>
        <v>861</v>
      </c>
      <c r="W395" s="436">
        <f>SUM(W396:W396)</f>
        <v>392</v>
      </c>
      <c r="X395" s="436">
        <f t="shared" si="264"/>
        <v>392</v>
      </c>
      <c r="Y395" s="436">
        <f t="shared" si="264"/>
        <v>0</v>
      </c>
      <c r="Z395" s="436">
        <f t="shared" si="264"/>
        <v>0</v>
      </c>
      <c r="AA395" s="436">
        <f t="shared" si="264"/>
        <v>0</v>
      </c>
      <c r="AB395" s="437"/>
      <c r="AC395" s="380">
        <f t="shared" si="238"/>
        <v>0</v>
      </c>
    </row>
    <row r="396" spans="1:36" s="8" customFormat="1" ht="49.5" customHeight="1">
      <c r="A396" s="430" t="s">
        <v>144</v>
      </c>
      <c r="B396" s="43" t="s">
        <v>504</v>
      </c>
      <c r="C396" s="43" t="s">
        <v>515</v>
      </c>
      <c r="D396" s="537"/>
      <c r="E396" s="456"/>
      <c r="F396" s="18"/>
      <c r="G396" s="11"/>
      <c r="H396" s="309"/>
      <c r="I396" s="406"/>
      <c r="J396" s="457">
        <f t="shared" ref="J396:AA396" si="265">+J397+J398</f>
        <v>2793</v>
      </c>
      <c r="K396" s="457">
        <f t="shared" si="265"/>
        <v>0</v>
      </c>
      <c r="L396" s="457">
        <f t="shared" si="265"/>
        <v>0</v>
      </c>
      <c r="M396" s="457">
        <f t="shared" si="265"/>
        <v>2793</v>
      </c>
      <c r="N396" s="457">
        <f t="shared" si="265"/>
        <v>1932</v>
      </c>
      <c r="O396" s="457">
        <f t="shared" si="265"/>
        <v>0</v>
      </c>
      <c r="P396" s="457">
        <f t="shared" si="265"/>
        <v>0</v>
      </c>
      <c r="Q396" s="457">
        <f t="shared" si="265"/>
        <v>1932</v>
      </c>
      <c r="R396" s="457">
        <f t="shared" si="265"/>
        <v>2401</v>
      </c>
      <c r="S396" s="457">
        <f t="shared" si="265"/>
        <v>0</v>
      </c>
      <c r="T396" s="457">
        <f t="shared" si="265"/>
        <v>0</v>
      </c>
      <c r="U396" s="457">
        <f t="shared" si="265"/>
        <v>2401</v>
      </c>
      <c r="V396" s="457">
        <f t="shared" si="265"/>
        <v>861</v>
      </c>
      <c r="W396" s="457">
        <f t="shared" si="265"/>
        <v>392</v>
      </c>
      <c r="X396" s="457">
        <f t="shared" si="265"/>
        <v>392</v>
      </c>
      <c r="Y396" s="457">
        <f t="shared" si="265"/>
        <v>0</v>
      </c>
      <c r="Z396" s="457">
        <f t="shared" si="265"/>
        <v>0</v>
      </c>
      <c r="AA396" s="457">
        <f t="shared" si="265"/>
        <v>0</v>
      </c>
      <c r="AB396" s="108" t="s">
        <v>1639</v>
      </c>
      <c r="AC396" s="380">
        <f t="shared" si="238"/>
        <v>0</v>
      </c>
      <c r="AJ396" s="8" t="s">
        <v>685</v>
      </c>
    </row>
    <row r="397" spans="1:36" s="8" customFormat="1" ht="38.25" customHeight="1">
      <c r="A397" s="100" t="s">
        <v>502</v>
      </c>
      <c r="B397" s="43" t="s">
        <v>516</v>
      </c>
      <c r="C397" s="43" t="s">
        <v>515</v>
      </c>
      <c r="D397" s="26" t="s">
        <v>517</v>
      </c>
      <c r="E397" s="626"/>
      <c r="F397" s="13" t="s">
        <v>518</v>
      </c>
      <c r="G397" s="21" t="s">
        <v>197</v>
      </c>
      <c r="H397" s="13" t="s">
        <v>240</v>
      </c>
      <c r="I397" s="13" t="s">
        <v>511</v>
      </c>
      <c r="J397" s="19">
        <v>1789</v>
      </c>
      <c r="K397" s="12"/>
      <c r="L397" s="12"/>
      <c r="M397" s="19">
        <v>1789</v>
      </c>
      <c r="N397" s="19">
        <v>1308</v>
      </c>
      <c r="O397" s="12"/>
      <c r="P397" s="12"/>
      <c r="Q397" s="19">
        <v>1308</v>
      </c>
      <c r="R397" s="19">
        <v>1547</v>
      </c>
      <c r="S397" s="12"/>
      <c r="T397" s="12"/>
      <c r="U397" s="19">
        <f>1789-242</f>
        <v>1547</v>
      </c>
      <c r="V397" s="19">
        <v>481</v>
      </c>
      <c r="W397" s="19">
        <f>SUM(X397:AA397)</f>
        <v>242</v>
      </c>
      <c r="X397" s="19">
        <v>242</v>
      </c>
      <c r="Y397" s="19"/>
      <c r="Z397" s="19"/>
      <c r="AA397" s="19"/>
      <c r="AB397" s="108"/>
      <c r="AC397" s="380">
        <f t="shared" si="238"/>
        <v>0</v>
      </c>
    </row>
    <row r="398" spans="1:36" s="8" customFormat="1" ht="38.25" customHeight="1">
      <c r="A398" s="100" t="s">
        <v>502</v>
      </c>
      <c r="B398" s="43" t="s">
        <v>519</v>
      </c>
      <c r="C398" s="43" t="s">
        <v>515</v>
      </c>
      <c r="D398" s="26" t="s">
        <v>520</v>
      </c>
      <c r="E398" s="626"/>
      <c r="F398" s="13" t="s">
        <v>518</v>
      </c>
      <c r="G398" s="13" t="s">
        <v>197</v>
      </c>
      <c r="H398" s="13" t="s">
        <v>102</v>
      </c>
      <c r="I398" s="13" t="s">
        <v>511</v>
      </c>
      <c r="J398" s="399">
        <v>1004</v>
      </c>
      <c r="K398" s="12"/>
      <c r="L398" s="12"/>
      <c r="M398" s="399">
        <v>1004</v>
      </c>
      <c r="N398" s="399">
        <v>624</v>
      </c>
      <c r="O398" s="12"/>
      <c r="P398" s="12"/>
      <c r="Q398" s="399">
        <v>624</v>
      </c>
      <c r="R398" s="399">
        <v>854</v>
      </c>
      <c r="S398" s="12"/>
      <c r="T398" s="12"/>
      <c r="U398" s="399">
        <f>1004-150</f>
        <v>854</v>
      </c>
      <c r="V398" s="19">
        <v>380</v>
      </c>
      <c r="W398" s="19">
        <f>SUM(X398:AA398)</f>
        <v>150</v>
      </c>
      <c r="X398" s="19">
        <v>150</v>
      </c>
      <c r="Y398" s="19"/>
      <c r="Z398" s="19"/>
      <c r="AA398" s="19"/>
      <c r="AB398" s="108"/>
      <c r="AC398" s="380">
        <f t="shared" si="238"/>
        <v>0</v>
      </c>
    </row>
    <row r="399" spans="1:36" s="417" customFormat="1" ht="28.5" customHeight="1">
      <c r="A399" s="327" t="s">
        <v>1306</v>
      </c>
      <c r="B399" s="413" t="s">
        <v>1307</v>
      </c>
      <c r="C399" s="43" t="s">
        <v>515</v>
      </c>
      <c r="D399" s="494"/>
      <c r="E399" s="494"/>
      <c r="F399" s="494"/>
      <c r="G399" s="494"/>
      <c r="H399" s="494"/>
      <c r="I399" s="327"/>
      <c r="J399" s="331"/>
      <c r="K399" s="331"/>
      <c r="L399" s="331"/>
      <c r="M399" s="331"/>
      <c r="N399" s="331"/>
      <c r="O399" s="331"/>
      <c r="P399" s="331"/>
      <c r="Q399" s="331"/>
      <c r="R399" s="331"/>
      <c r="S399" s="331"/>
      <c r="T399" s="331"/>
      <c r="U399" s="331"/>
      <c r="V399" s="331"/>
      <c r="W399" s="331"/>
      <c r="X399" s="331"/>
      <c r="Y399" s="331"/>
      <c r="Z399" s="331"/>
      <c r="AA399" s="331"/>
      <c r="AB399" s="332"/>
      <c r="AC399" s="380">
        <f t="shared" si="238"/>
        <v>0</v>
      </c>
    </row>
    <row r="400" spans="1:36" s="231" customFormat="1" ht="32.25" customHeight="1">
      <c r="A400" s="426" t="s">
        <v>1338</v>
      </c>
      <c r="B400" s="655" t="s">
        <v>521</v>
      </c>
      <c r="C400" s="655" t="s">
        <v>521</v>
      </c>
      <c r="D400" s="656"/>
      <c r="E400" s="462"/>
      <c r="F400" s="463"/>
      <c r="G400" s="318"/>
      <c r="H400" s="311"/>
      <c r="I400" s="610"/>
      <c r="J400" s="465">
        <f t="shared" ref="J400:AA400" si="266">+J401</f>
        <v>9128</v>
      </c>
      <c r="K400" s="465">
        <f t="shared" si="266"/>
        <v>0</v>
      </c>
      <c r="L400" s="465">
        <f t="shared" si="266"/>
        <v>0</v>
      </c>
      <c r="M400" s="465">
        <f t="shared" si="266"/>
        <v>9128</v>
      </c>
      <c r="N400" s="465">
        <f t="shared" si="266"/>
        <v>6578</v>
      </c>
      <c r="O400" s="465">
        <f t="shared" si="266"/>
        <v>0</v>
      </c>
      <c r="P400" s="465">
        <f t="shared" si="266"/>
        <v>0</v>
      </c>
      <c r="Q400" s="465">
        <f t="shared" si="266"/>
        <v>6578</v>
      </c>
      <c r="R400" s="465">
        <f t="shared" si="266"/>
        <v>5189</v>
      </c>
      <c r="S400" s="465">
        <f t="shared" si="266"/>
        <v>0</v>
      </c>
      <c r="T400" s="465">
        <f t="shared" si="266"/>
        <v>0</v>
      </c>
      <c r="U400" s="465">
        <f t="shared" si="266"/>
        <v>5189</v>
      </c>
      <c r="V400" s="465">
        <f t="shared" si="266"/>
        <v>2595</v>
      </c>
      <c r="W400" s="465">
        <f t="shared" si="266"/>
        <v>1567</v>
      </c>
      <c r="X400" s="465">
        <f t="shared" si="266"/>
        <v>1567</v>
      </c>
      <c r="Y400" s="465">
        <f t="shared" si="266"/>
        <v>0</v>
      </c>
      <c r="Z400" s="465">
        <f t="shared" si="266"/>
        <v>0</v>
      </c>
      <c r="AA400" s="465">
        <f t="shared" si="266"/>
        <v>0</v>
      </c>
      <c r="AB400" s="466"/>
      <c r="AC400" s="380">
        <f t="shared" si="238"/>
        <v>0</v>
      </c>
    </row>
    <row r="401" spans="1:36" s="10" customFormat="1" ht="27.75" customHeight="1">
      <c r="A401" s="393" t="s">
        <v>1324</v>
      </c>
      <c r="B401" s="394" t="s">
        <v>38</v>
      </c>
      <c r="C401" s="43" t="s">
        <v>521</v>
      </c>
      <c r="D401" s="394"/>
      <c r="E401" s="394"/>
      <c r="F401" s="419"/>
      <c r="G401" s="419"/>
      <c r="H401" s="420"/>
      <c r="I401" s="421"/>
      <c r="J401" s="453">
        <f t="shared" ref="J401:AA401" si="267">J403+J402+J408</f>
        <v>9128</v>
      </c>
      <c r="K401" s="453">
        <f t="shared" si="267"/>
        <v>0</v>
      </c>
      <c r="L401" s="453">
        <f t="shared" si="267"/>
        <v>0</v>
      </c>
      <c r="M401" s="453">
        <f t="shared" si="267"/>
        <v>9128</v>
      </c>
      <c r="N401" s="453">
        <f t="shared" si="267"/>
        <v>6578</v>
      </c>
      <c r="O401" s="453">
        <f t="shared" si="267"/>
        <v>0</v>
      </c>
      <c r="P401" s="453">
        <f t="shared" si="267"/>
        <v>0</v>
      </c>
      <c r="Q401" s="453">
        <f t="shared" si="267"/>
        <v>6578</v>
      </c>
      <c r="R401" s="453">
        <f t="shared" si="267"/>
        <v>5189</v>
      </c>
      <c r="S401" s="453">
        <f t="shared" si="267"/>
        <v>0</v>
      </c>
      <c r="T401" s="453">
        <f t="shared" si="267"/>
        <v>0</v>
      </c>
      <c r="U401" s="453">
        <f t="shared" si="267"/>
        <v>5189</v>
      </c>
      <c r="V401" s="453">
        <f t="shared" si="267"/>
        <v>2595</v>
      </c>
      <c r="W401" s="453">
        <f t="shared" si="267"/>
        <v>1567</v>
      </c>
      <c r="X401" s="453">
        <f t="shared" si="267"/>
        <v>1567</v>
      </c>
      <c r="Y401" s="453">
        <f t="shared" si="267"/>
        <v>0</v>
      </c>
      <c r="Z401" s="453">
        <f t="shared" si="267"/>
        <v>0</v>
      </c>
      <c r="AA401" s="453">
        <f t="shared" si="267"/>
        <v>0</v>
      </c>
      <c r="AB401" s="454"/>
      <c r="AC401" s="380">
        <f t="shared" si="238"/>
        <v>0</v>
      </c>
    </row>
    <row r="402" spans="1:36" s="10" customFormat="1" ht="39.75" customHeight="1">
      <c r="A402" s="332" t="s">
        <v>39</v>
      </c>
      <c r="B402" s="326" t="s">
        <v>1254</v>
      </c>
      <c r="C402" s="43" t="s">
        <v>521</v>
      </c>
      <c r="D402" s="554"/>
      <c r="E402" s="332"/>
      <c r="F402" s="471"/>
      <c r="G402" s="471"/>
      <c r="H402" s="332"/>
      <c r="I402" s="471"/>
      <c r="J402" s="331"/>
      <c r="K402" s="331"/>
      <c r="L402" s="331"/>
      <c r="M402" s="331"/>
      <c r="N402" s="331"/>
      <c r="O402" s="331"/>
      <c r="P402" s="331"/>
      <c r="Q402" s="331"/>
      <c r="R402" s="331"/>
      <c r="S402" s="331"/>
      <c r="T402" s="331"/>
      <c r="U402" s="331"/>
      <c r="V402" s="331"/>
      <c r="W402" s="331"/>
      <c r="X402" s="331"/>
      <c r="Y402" s="331"/>
      <c r="Z402" s="331"/>
      <c r="AA402" s="331"/>
      <c r="AB402" s="332"/>
      <c r="AC402" s="380">
        <f t="shared" si="238"/>
        <v>0</v>
      </c>
    </row>
    <row r="403" spans="1:36" s="10" customFormat="1" ht="48" customHeight="1">
      <c r="A403" s="397" t="s">
        <v>467</v>
      </c>
      <c r="B403" s="400" t="s">
        <v>183</v>
      </c>
      <c r="C403" s="43" t="s">
        <v>521</v>
      </c>
      <c r="D403" s="657"/>
      <c r="E403" s="657"/>
      <c r="F403" s="424"/>
      <c r="G403" s="424"/>
      <c r="H403" s="425"/>
      <c r="I403" s="328"/>
      <c r="J403" s="436">
        <f t="shared" ref="J403:AA403" si="268">SUM(J404:J404)</f>
        <v>9128</v>
      </c>
      <c r="K403" s="436">
        <f t="shared" si="268"/>
        <v>0</v>
      </c>
      <c r="L403" s="436">
        <f t="shared" si="268"/>
        <v>0</v>
      </c>
      <c r="M403" s="436">
        <f t="shared" si="268"/>
        <v>9128</v>
      </c>
      <c r="N403" s="436">
        <f t="shared" si="268"/>
        <v>6578</v>
      </c>
      <c r="O403" s="436">
        <f t="shared" si="268"/>
        <v>0</v>
      </c>
      <c r="P403" s="436">
        <f t="shared" si="268"/>
        <v>0</v>
      </c>
      <c r="Q403" s="436">
        <f t="shared" si="268"/>
        <v>6578</v>
      </c>
      <c r="R403" s="436">
        <f t="shared" si="268"/>
        <v>5189</v>
      </c>
      <c r="S403" s="436">
        <f t="shared" si="268"/>
        <v>0</v>
      </c>
      <c r="T403" s="436">
        <f t="shared" si="268"/>
        <v>0</v>
      </c>
      <c r="U403" s="436">
        <f t="shared" si="268"/>
        <v>5189</v>
      </c>
      <c r="V403" s="436">
        <f t="shared" si="268"/>
        <v>2595</v>
      </c>
      <c r="W403" s="436">
        <f>SUM(W404:W404)</f>
        <v>1567</v>
      </c>
      <c r="X403" s="436">
        <f t="shared" si="268"/>
        <v>1567</v>
      </c>
      <c r="Y403" s="436">
        <f t="shared" si="268"/>
        <v>0</v>
      </c>
      <c r="Z403" s="436">
        <f t="shared" si="268"/>
        <v>0</v>
      </c>
      <c r="AA403" s="436">
        <f t="shared" si="268"/>
        <v>0</v>
      </c>
      <c r="AB403" s="437"/>
      <c r="AC403" s="380">
        <f t="shared" si="238"/>
        <v>0</v>
      </c>
    </row>
    <row r="404" spans="1:36" s="8" customFormat="1" ht="49.5" customHeight="1">
      <c r="A404" s="430" t="s">
        <v>144</v>
      </c>
      <c r="B404" s="43" t="s">
        <v>504</v>
      </c>
      <c r="C404" s="43" t="s">
        <v>521</v>
      </c>
      <c r="D404" s="537"/>
      <c r="E404" s="456"/>
      <c r="F404" s="18"/>
      <c r="G404" s="11"/>
      <c r="H404" s="309"/>
      <c r="I404" s="406"/>
      <c r="J404" s="457">
        <f t="shared" ref="J404:AA404" si="269">+SUM(J405:J407)</f>
        <v>9128</v>
      </c>
      <c r="K404" s="457">
        <f t="shared" si="269"/>
        <v>0</v>
      </c>
      <c r="L404" s="457">
        <f t="shared" si="269"/>
        <v>0</v>
      </c>
      <c r="M404" s="457">
        <f t="shared" si="269"/>
        <v>9128</v>
      </c>
      <c r="N404" s="457">
        <f t="shared" si="269"/>
        <v>6578</v>
      </c>
      <c r="O404" s="457">
        <f t="shared" si="269"/>
        <v>0</v>
      </c>
      <c r="P404" s="457">
        <f t="shared" si="269"/>
        <v>0</v>
      </c>
      <c r="Q404" s="457">
        <f t="shared" si="269"/>
        <v>6578</v>
      </c>
      <c r="R404" s="457">
        <f t="shared" si="269"/>
        <v>5189</v>
      </c>
      <c r="S404" s="457">
        <f t="shared" si="269"/>
        <v>0</v>
      </c>
      <c r="T404" s="457">
        <f t="shared" si="269"/>
        <v>0</v>
      </c>
      <c r="U404" s="457">
        <f t="shared" si="269"/>
        <v>5189</v>
      </c>
      <c r="V404" s="457">
        <f t="shared" si="269"/>
        <v>2595</v>
      </c>
      <c r="W404" s="457">
        <f t="shared" si="269"/>
        <v>1567</v>
      </c>
      <c r="X404" s="457">
        <f t="shared" si="269"/>
        <v>1567</v>
      </c>
      <c r="Y404" s="457">
        <f t="shared" si="269"/>
        <v>0</v>
      </c>
      <c r="Z404" s="457">
        <f t="shared" si="269"/>
        <v>0</v>
      </c>
      <c r="AA404" s="457">
        <f t="shared" si="269"/>
        <v>0</v>
      </c>
      <c r="AB404" s="108" t="s">
        <v>1639</v>
      </c>
      <c r="AC404" s="380">
        <f t="shared" si="238"/>
        <v>0</v>
      </c>
      <c r="AJ404" s="8" t="s">
        <v>685</v>
      </c>
    </row>
    <row r="405" spans="1:36" s="8" customFormat="1" ht="38.25" customHeight="1">
      <c r="A405" s="100" t="s">
        <v>502</v>
      </c>
      <c r="B405" s="43" t="s">
        <v>516</v>
      </c>
      <c r="C405" s="43" t="s">
        <v>521</v>
      </c>
      <c r="D405" s="13">
        <v>8067107</v>
      </c>
      <c r="E405" s="626"/>
      <c r="F405" s="13" t="s">
        <v>522</v>
      </c>
      <c r="G405" s="21" t="s">
        <v>197</v>
      </c>
      <c r="H405" s="13" t="s">
        <v>240</v>
      </c>
      <c r="I405" s="13" t="s">
        <v>511</v>
      </c>
      <c r="J405" s="399">
        <v>6092</v>
      </c>
      <c r="K405" s="12"/>
      <c r="L405" s="12"/>
      <c r="M405" s="399">
        <v>6092</v>
      </c>
      <c r="N405" s="399">
        <f>3424+1564</f>
        <v>4988</v>
      </c>
      <c r="O405" s="12"/>
      <c r="P405" s="12"/>
      <c r="Q405" s="399">
        <f>3424+1564</f>
        <v>4988</v>
      </c>
      <c r="R405" s="17">
        <v>5027</v>
      </c>
      <c r="S405" s="12"/>
      <c r="T405" s="12"/>
      <c r="U405" s="17">
        <f>6092-1065</f>
        <v>5027</v>
      </c>
      <c r="V405" s="19">
        <v>1104</v>
      </c>
      <c r="W405" s="19">
        <f>SUM(X405:AA405)</f>
        <v>1065</v>
      </c>
      <c r="X405" s="19">
        <v>1065</v>
      </c>
      <c r="Y405" s="19"/>
      <c r="Z405" s="19"/>
      <c r="AA405" s="19"/>
      <c r="AB405" s="108"/>
      <c r="AC405" s="380">
        <f t="shared" si="238"/>
        <v>0</v>
      </c>
    </row>
    <row r="406" spans="1:36" s="8" customFormat="1" ht="48" customHeight="1">
      <c r="A406" s="100" t="s">
        <v>502</v>
      </c>
      <c r="B406" s="43" t="s">
        <v>523</v>
      </c>
      <c r="C406" s="43" t="s">
        <v>521</v>
      </c>
      <c r="D406" s="13">
        <v>8067106</v>
      </c>
      <c r="E406" s="626"/>
      <c r="F406" s="13" t="s">
        <v>522</v>
      </c>
      <c r="G406" s="21" t="s">
        <v>197</v>
      </c>
      <c r="H406" s="13" t="s">
        <v>240</v>
      </c>
      <c r="I406" s="13" t="s">
        <v>511</v>
      </c>
      <c r="J406" s="399">
        <v>183</v>
      </c>
      <c r="K406" s="12"/>
      <c r="L406" s="12"/>
      <c r="M406" s="399">
        <v>183</v>
      </c>
      <c r="N406" s="399">
        <f>99+42</f>
        <v>141</v>
      </c>
      <c r="O406" s="12"/>
      <c r="P406" s="12"/>
      <c r="Q406" s="399">
        <f>99+42</f>
        <v>141</v>
      </c>
      <c r="R406" s="17">
        <v>162</v>
      </c>
      <c r="S406" s="12"/>
      <c r="T406" s="12"/>
      <c r="U406" s="17">
        <f>183-21</f>
        <v>162</v>
      </c>
      <c r="V406" s="19">
        <v>42</v>
      </c>
      <c r="W406" s="19">
        <f t="shared" ref="W406:W407" si="270">SUM(X406:AA406)</f>
        <v>21</v>
      </c>
      <c r="X406" s="19">
        <v>21</v>
      </c>
      <c r="Y406" s="19"/>
      <c r="Z406" s="19"/>
      <c r="AA406" s="19"/>
      <c r="AB406" s="108"/>
      <c r="AC406" s="380">
        <f t="shared" si="238"/>
        <v>0</v>
      </c>
    </row>
    <row r="407" spans="1:36" s="8" customFormat="1" ht="38.25" customHeight="1">
      <c r="A407" s="100" t="s">
        <v>502</v>
      </c>
      <c r="B407" s="43" t="s">
        <v>524</v>
      </c>
      <c r="C407" s="43" t="s">
        <v>521</v>
      </c>
      <c r="D407" s="13">
        <v>8150710</v>
      </c>
      <c r="E407" s="626"/>
      <c r="F407" s="13" t="s">
        <v>522</v>
      </c>
      <c r="G407" s="21" t="s">
        <v>197</v>
      </c>
      <c r="H407" s="13" t="s">
        <v>299</v>
      </c>
      <c r="I407" s="13" t="s">
        <v>511</v>
      </c>
      <c r="J407" s="399">
        <v>2853</v>
      </c>
      <c r="K407" s="12"/>
      <c r="L407" s="12"/>
      <c r="M407" s="399">
        <v>2853</v>
      </c>
      <c r="N407" s="399">
        <v>1449</v>
      </c>
      <c r="O407" s="12"/>
      <c r="P407" s="12"/>
      <c r="Q407" s="399">
        <v>1449</v>
      </c>
      <c r="R407" s="17"/>
      <c r="S407" s="12"/>
      <c r="T407" s="12"/>
      <c r="U407" s="17"/>
      <c r="V407" s="19">
        <f>N407-U407</f>
        <v>1449</v>
      </c>
      <c r="W407" s="19">
        <f t="shared" si="270"/>
        <v>481</v>
      </c>
      <c r="X407" s="19">
        <v>481</v>
      </c>
      <c r="Y407" s="19"/>
      <c r="Z407" s="19"/>
      <c r="AA407" s="19"/>
      <c r="AB407" s="108"/>
      <c r="AC407" s="380">
        <f t="shared" si="238"/>
        <v>0</v>
      </c>
    </row>
    <row r="408" spans="1:36" s="417" customFormat="1" ht="28.5" customHeight="1">
      <c r="A408" s="327" t="s">
        <v>1306</v>
      </c>
      <c r="B408" s="413" t="s">
        <v>1307</v>
      </c>
      <c r="C408" s="43" t="s">
        <v>521</v>
      </c>
      <c r="D408" s="494"/>
      <c r="E408" s="494"/>
      <c r="F408" s="494"/>
      <c r="G408" s="494"/>
      <c r="H408" s="494"/>
      <c r="I408" s="327"/>
      <c r="J408" s="331"/>
      <c r="K408" s="331"/>
      <c r="L408" s="331"/>
      <c r="M408" s="331"/>
      <c r="N408" s="331"/>
      <c r="O408" s="331"/>
      <c r="P408" s="331"/>
      <c r="Q408" s="331"/>
      <c r="R408" s="331"/>
      <c r="S408" s="331"/>
      <c r="T408" s="331"/>
      <c r="U408" s="331"/>
      <c r="V408" s="331"/>
      <c r="W408" s="331"/>
      <c r="X408" s="331"/>
      <c r="Y408" s="331"/>
      <c r="Z408" s="331"/>
      <c r="AA408" s="331"/>
      <c r="AB408" s="332"/>
      <c r="AC408" s="380">
        <f t="shared" ref="AC408:AC471" si="271">+W408-X408-Y408-Z408</f>
        <v>0</v>
      </c>
    </row>
    <row r="409" spans="1:36" s="231" customFormat="1" ht="32.25" customHeight="1">
      <c r="A409" s="426" t="s">
        <v>1339</v>
      </c>
      <c r="B409" s="655" t="s">
        <v>525</v>
      </c>
      <c r="C409" s="655" t="s">
        <v>525</v>
      </c>
      <c r="D409" s="656"/>
      <c r="E409" s="462"/>
      <c r="F409" s="463"/>
      <c r="G409" s="318"/>
      <c r="H409" s="311"/>
      <c r="I409" s="610"/>
      <c r="J409" s="465">
        <f t="shared" ref="J409:AA409" si="272">+J410</f>
        <v>1606</v>
      </c>
      <c r="K409" s="465">
        <f t="shared" si="272"/>
        <v>0</v>
      </c>
      <c r="L409" s="465">
        <f t="shared" si="272"/>
        <v>0</v>
      </c>
      <c r="M409" s="465">
        <f t="shared" si="272"/>
        <v>1606</v>
      </c>
      <c r="N409" s="465">
        <f t="shared" si="272"/>
        <v>811</v>
      </c>
      <c r="O409" s="465">
        <f t="shared" si="272"/>
        <v>0</v>
      </c>
      <c r="P409" s="465">
        <f t="shared" si="272"/>
        <v>0</v>
      </c>
      <c r="Q409" s="465">
        <f t="shared" si="272"/>
        <v>811</v>
      </c>
      <c r="R409" s="465">
        <f t="shared" si="272"/>
        <v>1243</v>
      </c>
      <c r="S409" s="465">
        <f t="shared" si="272"/>
        <v>0</v>
      </c>
      <c r="T409" s="465">
        <f t="shared" si="272"/>
        <v>0</v>
      </c>
      <c r="U409" s="465">
        <f t="shared" si="272"/>
        <v>1243</v>
      </c>
      <c r="V409" s="465">
        <f t="shared" si="272"/>
        <v>795</v>
      </c>
      <c r="W409" s="465">
        <f t="shared" si="272"/>
        <v>363</v>
      </c>
      <c r="X409" s="465">
        <f t="shared" si="272"/>
        <v>363</v>
      </c>
      <c r="Y409" s="465">
        <f t="shared" si="272"/>
        <v>0</v>
      </c>
      <c r="Z409" s="465">
        <f t="shared" si="272"/>
        <v>0</v>
      </c>
      <c r="AA409" s="465">
        <f t="shared" si="272"/>
        <v>0</v>
      </c>
      <c r="AB409" s="466"/>
      <c r="AC409" s="380">
        <f t="shared" si="271"/>
        <v>0</v>
      </c>
    </row>
    <row r="410" spans="1:36" s="10" customFormat="1" ht="27.75" customHeight="1">
      <c r="A410" s="393" t="s">
        <v>1325</v>
      </c>
      <c r="B410" s="394" t="s">
        <v>38</v>
      </c>
      <c r="C410" s="43" t="s">
        <v>525</v>
      </c>
      <c r="D410" s="394"/>
      <c r="E410" s="394"/>
      <c r="F410" s="419"/>
      <c r="G410" s="419"/>
      <c r="H410" s="420"/>
      <c r="I410" s="421"/>
      <c r="J410" s="453">
        <f t="shared" ref="J410:AB410" si="273">J412+J411+J415</f>
        <v>1606</v>
      </c>
      <c r="K410" s="453">
        <f t="shared" si="273"/>
        <v>0</v>
      </c>
      <c r="L410" s="453">
        <f t="shared" si="273"/>
        <v>0</v>
      </c>
      <c r="M410" s="453">
        <f t="shared" si="273"/>
        <v>1606</v>
      </c>
      <c r="N410" s="453">
        <f t="shared" si="273"/>
        <v>811</v>
      </c>
      <c r="O410" s="453">
        <f t="shared" si="273"/>
        <v>0</v>
      </c>
      <c r="P410" s="453">
        <f t="shared" si="273"/>
        <v>0</v>
      </c>
      <c r="Q410" s="453">
        <f t="shared" si="273"/>
        <v>811</v>
      </c>
      <c r="R410" s="453">
        <f t="shared" si="273"/>
        <v>1243</v>
      </c>
      <c r="S410" s="453">
        <f t="shared" si="273"/>
        <v>0</v>
      </c>
      <c r="T410" s="453">
        <f t="shared" si="273"/>
        <v>0</v>
      </c>
      <c r="U410" s="453">
        <f t="shared" si="273"/>
        <v>1243</v>
      </c>
      <c r="V410" s="453">
        <f t="shared" si="273"/>
        <v>795</v>
      </c>
      <c r="W410" s="453">
        <f t="shared" si="273"/>
        <v>363</v>
      </c>
      <c r="X410" s="453">
        <f t="shared" si="273"/>
        <v>363</v>
      </c>
      <c r="Y410" s="453">
        <f t="shared" si="273"/>
        <v>0</v>
      </c>
      <c r="Z410" s="453">
        <f t="shared" si="273"/>
        <v>0</v>
      </c>
      <c r="AA410" s="453">
        <f t="shared" si="273"/>
        <v>0</v>
      </c>
      <c r="AB410" s="454">
        <f t="shared" si="273"/>
        <v>0</v>
      </c>
      <c r="AC410" s="380">
        <f t="shared" si="271"/>
        <v>0</v>
      </c>
    </row>
    <row r="411" spans="1:36" s="10" customFormat="1" ht="39.75" customHeight="1">
      <c r="A411" s="332" t="s">
        <v>39</v>
      </c>
      <c r="B411" s="326" t="s">
        <v>1254</v>
      </c>
      <c r="C411" s="43" t="s">
        <v>525</v>
      </c>
      <c r="D411" s="554"/>
      <c r="E411" s="332"/>
      <c r="F411" s="471"/>
      <c r="G411" s="471"/>
      <c r="H411" s="332"/>
      <c r="I411" s="471"/>
      <c r="J411" s="331"/>
      <c r="K411" s="331"/>
      <c r="L411" s="331"/>
      <c r="M411" s="331"/>
      <c r="N411" s="331"/>
      <c r="O411" s="331"/>
      <c r="P411" s="331"/>
      <c r="Q411" s="331"/>
      <c r="R411" s="331"/>
      <c r="S411" s="331"/>
      <c r="T411" s="331"/>
      <c r="U411" s="331"/>
      <c r="V411" s="331"/>
      <c r="W411" s="331"/>
      <c r="X411" s="331"/>
      <c r="Y411" s="331"/>
      <c r="Z411" s="331"/>
      <c r="AA411" s="331"/>
      <c r="AB411" s="332"/>
      <c r="AC411" s="380">
        <f t="shared" si="271"/>
        <v>0</v>
      </c>
    </row>
    <row r="412" spans="1:36" s="10" customFormat="1" ht="51.75" customHeight="1">
      <c r="A412" s="397" t="s">
        <v>467</v>
      </c>
      <c r="B412" s="400" t="s">
        <v>183</v>
      </c>
      <c r="C412" s="43" t="s">
        <v>525</v>
      </c>
      <c r="D412" s="657"/>
      <c r="E412" s="657"/>
      <c r="F412" s="424"/>
      <c r="G412" s="424"/>
      <c r="H412" s="425"/>
      <c r="I412" s="328"/>
      <c r="J412" s="436">
        <f t="shared" ref="J412:AA412" si="274">SUM(J413:J413)</f>
        <v>1606</v>
      </c>
      <c r="K412" s="436">
        <f t="shared" si="274"/>
        <v>0</v>
      </c>
      <c r="L412" s="436">
        <f t="shared" si="274"/>
        <v>0</v>
      </c>
      <c r="M412" s="436">
        <f t="shared" si="274"/>
        <v>1606</v>
      </c>
      <c r="N412" s="436">
        <f t="shared" si="274"/>
        <v>811</v>
      </c>
      <c r="O412" s="436">
        <f t="shared" si="274"/>
        <v>0</v>
      </c>
      <c r="P412" s="436">
        <f t="shared" si="274"/>
        <v>0</v>
      </c>
      <c r="Q412" s="436">
        <f t="shared" si="274"/>
        <v>811</v>
      </c>
      <c r="R412" s="436">
        <f t="shared" si="274"/>
        <v>1243</v>
      </c>
      <c r="S412" s="436">
        <f t="shared" si="274"/>
        <v>0</v>
      </c>
      <c r="T412" s="436">
        <f t="shared" si="274"/>
        <v>0</v>
      </c>
      <c r="U412" s="436">
        <f t="shared" si="274"/>
        <v>1243</v>
      </c>
      <c r="V412" s="436">
        <f t="shared" si="274"/>
        <v>795</v>
      </c>
      <c r="W412" s="436">
        <f>SUM(W413:W413)</f>
        <v>363</v>
      </c>
      <c r="X412" s="436">
        <f t="shared" si="274"/>
        <v>363</v>
      </c>
      <c r="Y412" s="436">
        <f t="shared" si="274"/>
        <v>0</v>
      </c>
      <c r="Z412" s="436">
        <f t="shared" si="274"/>
        <v>0</v>
      </c>
      <c r="AA412" s="436">
        <f t="shared" si="274"/>
        <v>0</v>
      </c>
      <c r="AB412" s="108"/>
      <c r="AC412" s="380">
        <f t="shared" si="271"/>
        <v>0</v>
      </c>
    </row>
    <row r="413" spans="1:36" s="8" customFormat="1" ht="49.5" customHeight="1">
      <c r="A413" s="430" t="s">
        <v>144</v>
      </c>
      <c r="B413" s="43" t="s">
        <v>504</v>
      </c>
      <c r="C413" s="43" t="s">
        <v>525</v>
      </c>
      <c r="D413" s="537"/>
      <c r="E413" s="456"/>
      <c r="F413" s="18"/>
      <c r="G413" s="11"/>
      <c r="H413" s="309"/>
      <c r="I413" s="406"/>
      <c r="J413" s="457">
        <f t="shared" ref="J413:AA413" si="275">+J414</f>
        <v>1606</v>
      </c>
      <c r="K413" s="457">
        <f t="shared" si="275"/>
        <v>0</v>
      </c>
      <c r="L413" s="457">
        <f t="shared" si="275"/>
        <v>0</v>
      </c>
      <c r="M413" s="457">
        <f t="shared" si="275"/>
        <v>1606</v>
      </c>
      <c r="N413" s="457">
        <f t="shared" si="275"/>
        <v>811</v>
      </c>
      <c r="O413" s="457">
        <f t="shared" si="275"/>
        <v>0</v>
      </c>
      <c r="P413" s="457">
        <f t="shared" si="275"/>
        <v>0</v>
      </c>
      <c r="Q413" s="457">
        <f t="shared" si="275"/>
        <v>811</v>
      </c>
      <c r="R413" s="457">
        <f t="shared" si="275"/>
        <v>1243</v>
      </c>
      <c r="S413" s="457">
        <f t="shared" si="275"/>
        <v>0</v>
      </c>
      <c r="T413" s="457">
        <f t="shared" si="275"/>
        <v>0</v>
      </c>
      <c r="U413" s="457">
        <f t="shared" si="275"/>
        <v>1243</v>
      </c>
      <c r="V413" s="457">
        <f t="shared" si="275"/>
        <v>795</v>
      </c>
      <c r="W413" s="457">
        <f t="shared" si="275"/>
        <v>363</v>
      </c>
      <c r="X413" s="457">
        <f t="shared" si="275"/>
        <v>363</v>
      </c>
      <c r="Y413" s="457">
        <f t="shared" si="275"/>
        <v>0</v>
      </c>
      <c r="Z413" s="457">
        <f t="shared" si="275"/>
        <v>0</v>
      </c>
      <c r="AA413" s="457">
        <f t="shared" si="275"/>
        <v>0</v>
      </c>
      <c r="AB413" s="108" t="s">
        <v>1639</v>
      </c>
      <c r="AC413" s="380">
        <f t="shared" si="271"/>
        <v>0</v>
      </c>
      <c r="AJ413" s="8" t="s">
        <v>685</v>
      </c>
    </row>
    <row r="414" spans="1:36" s="8" customFormat="1" ht="48.75" customHeight="1">
      <c r="A414" s="100" t="s">
        <v>502</v>
      </c>
      <c r="B414" s="43" t="s">
        <v>523</v>
      </c>
      <c r="C414" s="43" t="s">
        <v>525</v>
      </c>
      <c r="D414" s="13">
        <v>8103520</v>
      </c>
      <c r="E414" s="626"/>
      <c r="F414" s="13" t="s">
        <v>522</v>
      </c>
      <c r="G414" s="21" t="s">
        <v>197</v>
      </c>
      <c r="H414" s="13" t="s">
        <v>240</v>
      </c>
      <c r="I414" s="13" t="s">
        <v>511</v>
      </c>
      <c r="J414" s="399">
        <v>1606</v>
      </c>
      <c r="K414" s="12"/>
      <c r="L414" s="12"/>
      <c r="M414" s="399">
        <v>1606</v>
      </c>
      <c r="N414" s="399">
        <v>811</v>
      </c>
      <c r="O414" s="12"/>
      <c r="P414" s="12"/>
      <c r="Q414" s="399">
        <v>811</v>
      </c>
      <c r="R414" s="17">
        <v>1243</v>
      </c>
      <c r="S414" s="12"/>
      <c r="T414" s="12"/>
      <c r="U414" s="17">
        <f>1606-363</f>
        <v>1243</v>
      </c>
      <c r="V414" s="436">
        <v>795</v>
      </c>
      <c r="W414" s="19">
        <f>SUM(X414:AA414)</f>
        <v>363</v>
      </c>
      <c r="X414" s="19">
        <v>363</v>
      </c>
      <c r="Y414" s="19"/>
      <c r="Z414" s="19"/>
      <c r="AA414" s="19"/>
      <c r="AB414" s="108"/>
      <c r="AC414" s="380">
        <f t="shared" si="271"/>
        <v>0</v>
      </c>
    </row>
    <row r="415" spans="1:36" s="417" customFormat="1" ht="28.5" customHeight="1">
      <c r="A415" s="327" t="s">
        <v>1306</v>
      </c>
      <c r="B415" s="413" t="s">
        <v>1307</v>
      </c>
      <c r="C415" s="43" t="s">
        <v>525</v>
      </c>
      <c r="D415" s="494"/>
      <c r="E415" s="494"/>
      <c r="F415" s="494"/>
      <c r="G415" s="494"/>
      <c r="H415" s="494"/>
      <c r="I415" s="327"/>
      <c r="J415" s="331"/>
      <c r="K415" s="331"/>
      <c r="L415" s="331"/>
      <c r="M415" s="331"/>
      <c r="N415" s="331"/>
      <c r="O415" s="331"/>
      <c r="P415" s="331"/>
      <c r="Q415" s="331"/>
      <c r="R415" s="331"/>
      <c r="S415" s="331"/>
      <c r="T415" s="331"/>
      <c r="U415" s="331"/>
      <c r="V415" s="331"/>
      <c r="W415" s="331"/>
      <c r="X415" s="331"/>
      <c r="Y415" s="331"/>
      <c r="Z415" s="331"/>
      <c r="AA415" s="331"/>
      <c r="AB415" s="332"/>
      <c r="AC415" s="380">
        <f t="shared" si="271"/>
        <v>0</v>
      </c>
    </row>
    <row r="416" spans="1:36" s="231" customFormat="1" ht="32.25" customHeight="1">
      <c r="A416" s="426" t="s">
        <v>1340</v>
      </c>
      <c r="B416" s="655" t="s">
        <v>526</v>
      </c>
      <c r="C416" s="655" t="s">
        <v>526</v>
      </c>
      <c r="D416" s="656"/>
      <c r="E416" s="462"/>
      <c r="F416" s="463"/>
      <c r="G416" s="318"/>
      <c r="H416" s="311"/>
      <c r="I416" s="610"/>
      <c r="J416" s="465">
        <f t="shared" ref="J416:AA416" si="276">+J417</f>
        <v>9412</v>
      </c>
      <c r="K416" s="465">
        <f t="shared" si="276"/>
        <v>0</v>
      </c>
      <c r="L416" s="465">
        <f t="shared" si="276"/>
        <v>0</v>
      </c>
      <c r="M416" s="465">
        <f t="shared" si="276"/>
        <v>9412</v>
      </c>
      <c r="N416" s="465">
        <f t="shared" si="276"/>
        <v>5265</v>
      </c>
      <c r="O416" s="465">
        <f t="shared" si="276"/>
        <v>0</v>
      </c>
      <c r="P416" s="465">
        <f t="shared" si="276"/>
        <v>0</v>
      </c>
      <c r="Q416" s="465">
        <f t="shared" si="276"/>
        <v>5265</v>
      </c>
      <c r="R416" s="465">
        <f t="shared" si="276"/>
        <v>5413</v>
      </c>
      <c r="S416" s="465">
        <f t="shared" si="276"/>
        <v>0</v>
      </c>
      <c r="T416" s="465">
        <f t="shared" si="276"/>
        <v>0</v>
      </c>
      <c r="U416" s="465">
        <f t="shared" si="276"/>
        <v>5413</v>
      </c>
      <c r="V416" s="465">
        <f t="shared" si="276"/>
        <v>4037</v>
      </c>
      <c r="W416" s="465">
        <f t="shared" si="276"/>
        <v>1685</v>
      </c>
      <c r="X416" s="465">
        <f t="shared" si="276"/>
        <v>1685</v>
      </c>
      <c r="Y416" s="465">
        <f t="shared" si="276"/>
        <v>0</v>
      </c>
      <c r="Z416" s="465">
        <f t="shared" si="276"/>
        <v>0</v>
      </c>
      <c r="AA416" s="465">
        <f t="shared" si="276"/>
        <v>0</v>
      </c>
      <c r="AB416" s="466"/>
      <c r="AC416" s="380">
        <f t="shared" si="271"/>
        <v>0</v>
      </c>
    </row>
    <row r="417" spans="1:36" s="10" customFormat="1" ht="27.75" customHeight="1">
      <c r="A417" s="393" t="s">
        <v>1326</v>
      </c>
      <c r="B417" s="394" t="s">
        <v>38</v>
      </c>
      <c r="C417" s="43" t="s">
        <v>526</v>
      </c>
      <c r="D417" s="394"/>
      <c r="E417" s="394"/>
      <c r="F417" s="419"/>
      <c r="G417" s="419"/>
      <c r="H417" s="420"/>
      <c r="I417" s="421"/>
      <c r="J417" s="453">
        <f t="shared" ref="J417:AA417" si="277">J419+J418+J429</f>
        <v>9412</v>
      </c>
      <c r="K417" s="453">
        <f t="shared" si="277"/>
        <v>0</v>
      </c>
      <c r="L417" s="453">
        <f t="shared" si="277"/>
        <v>0</v>
      </c>
      <c r="M417" s="453">
        <f t="shared" si="277"/>
        <v>9412</v>
      </c>
      <c r="N417" s="453">
        <f t="shared" si="277"/>
        <v>5265</v>
      </c>
      <c r="O417" s="453">
        <f t="shared" si="277"/>
        <v>0</v>
      </c>
      <c r="P417" s="453">
        <f t="shared" si="277"/>
        <v>0</v>
      </c>
      <c r="Q417" s="453">
        <f t="shared" si="277"/>
        <v>5265</v>
      </c>
      <c r="R417" s="453">
        <f t="shared" si="277"/>
        <v>5413</v>
      </c>
      <c r="S417" s="453">
        <f t="shared" si="277"/>
        <v>0</v>
      </c>
      <c r="T417" s="453">
        <f t="shared" si="277"/>
        <v>0</v>
      </c>
      <c r="U417" s="453">
        <f t="shared" si="277"/>
        <v>5413</v>
      </c>
      <c r="V417" s="453">
        <f t="shared" si="277"/>
        <v>4037</v>
      </c>
      <c r="W417" s="453">
        <f t="shared" si="277"/>
        <v>1685</v>
      </c>
      <c r="X417" s="453">
        <f t="shared" si="277"/>
        <v>1685</v>
      </c>
      <c r="Y417" s="453">
        <f t="shared" si="277"/>
        <v>0</v>
      </c>
      <c r="Z417" s="453">
        <f t="shared" si="277"/>
        <v>0</v>
      </c>
      <c r="AA417" s="453">
        <f t="shared" si="277"/>
        <v>0</v>
      </c>
      <c r="AB417" s="454"/>
      <c r="AC417" s="380">
        <f t="shared" si="271"/>
        <v>0</v>
      </c>
    </row>
    <row r="418" spans="1:36" s="10" customFormat="1" ht="39.75" customHeight="1">
      <c r="A418" s="332" t="s">
        <v>39</v>
      </c>
      <c r="B418" s="326" t="s">
        <v>1254</v>
      </c>
      <c r="C418" s="43" t="s">
        <v>526</v>
      </c>
      <c r="D418" s="554"/>
      <c r="E418" s="332"/>
      <c r="F418" s="471"/>
      <c r="G418" s="471"/>
      <c r="H418" s="332"/>
      <c r="I418" s="471"/>
      <c r="J418" s="331"/>
      <c r="K418" s="331"/>
      <c r="L418" s="331"/>
      <c r="M418" s="331"/>
      <c r="N418" s="331"/>
      <c r="O418" s="331"/>
      <c r="P418" s="331"/>
      <c r="Q418" s="331"/>
      <c r="R418" s="331"/>
      <c r="S418" s="331"/>
      <c r="T418" s="331"/>
      <c r="U418" s="331"/>
      <c r="V418" s="331"/>
      <c r="W418" s="331"/>
      <c r="X418" s="331"/>
      <c r="Y418" s="331"/>
      <c r="Z418" s="331"/>
      <c r="AA418" s="331"/>
      <c r="AB418" s="332"/>
      <c r="AC418" s="380">
        <f t="shared" si="271"/>
        <v>0</v>
      </c>
    </row>
    <row r="419" spans="1:36" s="10" customFormat="1" ht="40.5" customHeight="1">
      <c r="A419" s="397" t="s">
        <v>467</v>
      </c>
      <c r="B419" s="400" t="s">
        <v>183</v>
      </c>
      <c r="C419" s="43" t="s">
        <v>526</v>
      </c>
      <c r="D419" s="657"/>
      <c r="E419" s="657"/>
      <c r="F419" s="424"/>
      <c r="G419" s="424"/>
      <c r="H419" s="425"/>
      <c r="I419" s="328"/>
      <c r="J419" s="436">
        <f t="shared" ref="J419:W419" si="278">J420+J426</f>
        <v>9412</v>
      </c>
      <c r="K419" s="436">
        <f t="shared" si="278"/>
        <v>0</v>
      </c>
      <c r="L419" s="436">
        <f t="shared" si="278"/>
        <v>0</v>
      </c>
      <c r="M419" s="436">
        <f t="shared" si="278"/>
        <v>9412</v>
      </c>
      <c r="N419" s="436">
        <f t="shared" si="278"/>
        <v>5265</v>
      </c>
      <c r="O419" s="436">
        <f t="shared" si="278"/>
        <v>0</v>
      </c>
      <c r="P419" s="436">
        <f t="shared" si="278"/>
        <v>0</v>
      </c>
      <c r="Q419" s="436">
        <f t="shared" si="278"/>
        <v>5265</v>
      </c>
      <c r="R419" s="436">
        <f t="shared" si="278"/>
        <v>5413</v>
      </c>
      <c r="S419" s="436">
        <f t="shared" si="278"/>
        <v>0</v>
      </c>
      <c r="T419" s="436">
        <f t="shared" si="278"/>
        <v>0</v>
      </c>
      <c r="U419" s="436">
        <f t="shared" si="278"/>
        <v>5413</v>
      </c>
      <c r="V419" s="436">
        <f t="shared" si="278"/>
        <v>4037</v>
      </c>
      <c r="W419" s="436">
        <f t="shared" si="278"/>
        <v>1685</v>
      </c>
      <c r="X419" s="436">
        <f t="shared" ref="X419:AA419" si="279">X420+X426</f>
        <v>1685</v>
      </c>
      <c r="Y419" s="436">
        <f t="shared" si="279"/>
        <v>0</v>
      </c>
      <c r="Z419" s="436">
        <f t="shared" si="279"/>
        <v>0</v>
      </c>
      <c r="AA419" s="436">
        <f t="shared" si="279"/>
        <v>0</v>
      </c>
      <c r="AB419" s="437"/>
      <c r="AC419" s="380">
        <f t="shared" si="271"/>
        <v>0</v>
      </c>
    </row>
    <row r="420" spans="1:36" s="8" customFormat="1" ht="49.5" customHeight="1">
      <c r="A420" s="430" t="s">
        <v>144</v>
      </c>
      <c r="B420" s="43" t="s">
        <v>504</v>
      </c>
      <c r="C420" s="43" t="s">
        <v>526</v>
      </c>
      <c r="D420" s="537"/>
      <c r="E420" s="456"/>
      <c r="F420" s="18"/>
      <c r="G420" s="11"/>
      <c r="H420" s="309"/>
      <c r="I420" s="406"/>
      <c r="J420" s="457">
        <f t="shared" ref="J420:AA420" si="280">+SUM(J421:J425)</f>
        <v>6525</v>
      </c>
      <c r="K420" s="457">
        <f t="shared" si="280"/>
        <v>0</v>
      </c>
      <c r="L420" s="457">
        <f t="shared" si="280"/>
        <v>0</v>
      </c>
      <c r="M420" s="457">
        <f t="shared" si="280"/>
        <v>6525</v>
      </c>
      <c r="N420" s="457">
        <f t="shared" si="280"/>
        <v>3335</v>
      </c>
      <c r="O420" s="457">
        <f t="shared" si="280"/>
        <v>0</v>
      </c>
      <c r="P420" s="457">
        <f t="shared" si="280"/>
        <v>0</v>
      </c>
      <c r="Q420" s="457">
        <f t="shared" si="280"/>
        <v>3335</v>
      </c>
      <c r="R420" s="457">
        <f t="shared" si="280"/>
        <v>3713</v>
      </c>
      <c r="S420" s="457">
        <f t="shared" si="280"/>
        <v>0</v>
      </c>
      <c r="T420" s="457">
        <f t="shared" si="280"/>
        <v>0</v>
      </c>
      <c r="U420" s="457">
        <f t="shared" si="280"/>
        <v>3713</v>
      </c>
      <c r="V420" s="457">
        <f t="shared" si="280"/>
        <v>3035</v>
      </c>
      <c r="W420" s="457">
        <f t="shared" si="280"/>
        <v>1197</v>
      </c>
      <c r="X420" s="457">
        <f t="shared" si="280"/>
        <v>1197</v>
      </c>
      <c r="Y420" s="457">
        <f t="shared" si="280"/>
        <v>0</v>
      </c>
      <c r="Z420" s="457">
        <f t="shared" si="280"/>
        <v>0</v>
      </c>
      <c r="AA420" s="457">
        <f t="shared" si="280"/>
        <v>0</v>
      </c>
      <c r="AB420" s="108" t="s">
        <v>1639</v>
      </c>
      <c r="AC420" s="380">
        <f t="shared" si="271"/>
        <v>0</v>
      </c>
      <c r="AJ420" s="8" t="s">
        <v>685</v>
      </c>
    </row>
    <row r="421" spans="1:36" s="8" customFormat="1" ht="38.25" customHeight="1">
      <c r="A421" s="103" t="s">
        <v>502</v>
      </c>
      <c r="B421" s="27" t="s">
        <v>527</v>
      </c>
      <c r="C421" s="43" t="s">
        <v>526</v>
      </c>
      <c r="D421" s="13">
        <v>8073174</v>
      </c>
      <c r="E421" s="626"/>
      <c r="F421" s="13" t="s">
        <v>528</v>
      </c>
      <c r="G421" s="13" t="s">
        <v>197</v>
      </c>
      <c r="H421" s="13" t="s">
        <v>240</v>
      </c>
      <c r="I421" s="13" t="s">
        <v>511</v>
      </c>
      <c r="J421" s="399">
        <v>1475</v>
      </c>
      <c r="K421" s="12"/>
      <c r="L421" s="12"/>
      <c r="M421" s="399">
        <v>1475</v>
      </c>
      <c r="N421" s="399">
        <v>956</v>
      </c>
      <c r="O421" s="12"/>
      <c r="P421" s="12"/>
      <c r="Q421" s="399">
        <v>956</v>
      </c>
      <c r="R421" s="17">
        <v>1281</v>
      </c>
      <c r="S421" s="12"/>
      <c r="T421" s="12"/>
      <c r="U421" s="17">
        <f>1475-194</f>
        <v>1281</v>
      </c>
      <c r="V421" s="17">
        <v>386</v>
      </c>
      <c r="W421" s="19">
        <f>SUM(X421:AA421)</f>
        <v>194</v>
      </c>
      <c r="X421" s="19">
        <v>194</v>
      </c>
      <c r="Y421" s="19"/>
      <c r="Z421" s="19"/>
      <c r="AA421" s="19"/>
      <c r="AB421" s="108"/>
      <c r="AC421" s="380">
        <f t="shared" si="271"/>
        <v>0</v>
      </c>
    </row>
    <row r="422" spans="1:36" s="8" customFormat="1" ht="49.5" customHeight="1">
      <c r="A422" s="103" t="s">
        <v>502</v>
      </c>
      <c r="B422" s="27" t="s">
        <v>529</v>
      </c>
      <c r="C422" s="43" t="s">
        <v>526</v>
      </c>
      <c r="D422" s="13">
        <v>8073173</v>
      </c>
      <c r="E422" s="626"/>
      <c r="F422" s="13" t="s">
        <v>528</v>
      </c>
      <c r="G422" s="13" t="s">
        <v>197</v>
      </c>
      <c r="H422" s="13" t="s">
        <v>240</v>
      </c>
      <c r="I422" s="13" t="s">
        <v>511</v>
      </c>
      <c r="J422" s="399">
        <v>241</v>
      </c>
      <c r="K422" s="12"/>
      <c r="L422" s="12"/>
      <c r="M422" s="399">
        <v>241</v>
      </c>
      <c r="N422" s="399">
        <v>156</v>
      </c>
      <c r="O422" s="12"/>
      <c r="P422" s="12"/>
      <c r="Q422" s="399">
        <v>156</v>
      </c>
      <c r="R422" s="17">
        <v>209</v>
      </c>
      <c r="S422" s="12"/>
      <c r="T422" s="12"/>
      <c r="U422" s="17">
        <f>241-32</f>
        <v>209</v>
      </c>
      <c r="V422" s="17">
        <v>63</v>
      </c>
      <c r="W422" s="19">
        <f t="shared" ref="W422:W425" si="281">SUM(X422:AA422)</f>
        <v>32</v>
      </c>
      <c r="X422" s="19">
        <v>32</v>
      </c>
      <c r="Y422" s="19"/>
      <c r="Z422" s="19"/>
      <c r="AA422" s="19"/>
      <c r="AB422" s="108"/>
      <c r="AC422" s="380">
        <f t="shared" si="271"/>
        <v>0</v>
      </c>
    </row>
    <row r="423" spans="1:36" s="8" customFormat="1" ht="38.25" customHeight="1">
      <c r="A423" s="103" t="s">
        <v>502</v>
      </c>
      <c r="B423" s="27" t="s">
        <v>530</v>
      </c>
      <c r="C423" s="43" t="s">
        <v>526</v>
      </c>
      <c r="D423" s="13">
        <v>8157522</v>
      </c>
      <c r="E423" s="626"/>
      <c r="F423" s="13" t="s">
        <v>528</v>
      </c>
      <c r="G423" s="13" t="s">
        <v>197</v>
      </c>
      <c r="H423" s="13" t="s">
        <v>299</v>
      </c>
      <c r="I423" s="13" t="s">
        <v>511</v>
      </c>
      <c r="J423" s="399">
        <v>598</v>
      </c>
      <c r="K423" s="12"/>
      <c r="L423" s="12"/>
      <c r="M423" s="399">
        <v>598</v>
      </c>
      <c r="N423" s="399">
        <v>275</v>
      </c>
      <c r="O423" s="12"/>
      <c r="P423" s="12"/>
      <c r="Q423" s="399">
        <v>275</v>
      </c>
      <c r="R423" s="17">
        <v>275</v>
      </c>
      <c r="S423" s="12"/>
      <c r="T423" s="12"/>
      <c r="U423" s="17">
        <v>275</v>
      </c>
      <c r="V423" s="17">
        <v>323</v>
      </c>
      <c r="W423" s="19">
        <f t="shared" si="281"/>
        <v>121</v>
      </c>
      <c r="X423" s="19">
        <v>121</v>
      </c>
      <c r="Y423" s="19"/>
      <c r="Z423" s="19"/>
      <c r="AA423" s="19"/>
      <c r="AB423" s="108"/>
      <c r="AC423" s="380">
        <f t="shared" si="271"/>
        <v>0</v>
      </c>
    </row>
    <row r="424" spans="1:36" s="8" customFormat="1" ht="38.25" customHeight="1">
      <c r="A424" s="103" t="s">
        <v>502</v>
      </c>
      <c r="B424" s="27" t="s">
        <v>531</v>
      </c>
      <c r="C424" s="43" t="s">
        <v>526</v>
      </c>
      <c r="D424" s="13">
        <v>8157521</v>
      </c>
      <c r="E424" s="626"/>
      <c r="F424" s="13" t="s">
        <v>528</v>
      </c>
      <c r="G424" s="13" t="s">
        <v>197</v>
      </c>
      <c r="H424" s="13" t="s">
        <v>299</v>
      </c>
      <c r="I424" s="13" t="s">
        <v>511</v>
      </c>
      <c r="J424" s="399">
        <v>3576</v>
      </c>
      <c r="K424" s="12"/>
      <c r="L424" s="12"/>
      <c r="M424" s="399">
        <v>3576</v>
      </c>
      <c r="N424" s="399">
        <v>1656</v>
      </c>
      <c r="O424" s="12"/>
      <c r="P424" s="12"/>
      <c r="Q424" s="399">
        <v>1656</v>
      </c>
      <c r="R424" s="17">
        <v>1656</v>
      </c>
      <c r="S424" s="12"/>
      <c r="T424" s="12"/>
      <c r="U424" s="17">
        <v>1656</v>
      </c>
      <c r="V424" s="17">
        <v>1920</v>
      </c>
      <c r="W424" s="19">
        <f t="shared" si="281"/>
        <v>721</v>
      </c>
      <c r="X424" s="19">
        <v>721</v>
      </c>
      <c r="Y424" s="19"/>
      <c r="Z424" s="19"/>
      <c r="AA424" s="19"/>
      <c r="AB424" s="108"/>
      <c r="AC424" s="380">
        <f t="shared" si="271"/>
        <v>0</v>
      </c>
    </row>
    <row r="425" spans="1:36" s="8" customFormat="1" ht="47.25" customHeight="1">
      <c r="A425" s="103" t="s">
        <v>502</v>
      </c>
      <c r="B425" s="27" t="s">
        <v>532</v>
      </c>
      <c r="C425" s="43" t="s">
        <v>526</v>
      </c>
      <c r="D425" s="13">
        <v>8157523</v>
      </c>
      <c r="E425" s="626"/>
      <c r="F425" s="13" t="s">
        <v>528</v>
      </c>
      <c r="G425" s="13" t="s">
        <v>197</v>
      </c>
      <c r="H425" s="13" t="s">
        <v>299</v>
      </c>
      <c r="I425" s="13" t="s">
        <v>511</v>
      </c>
      <c r="J425" s="399">
        <v>635</v>
      </c>
      <c r="K425" s="12"/>
      <c r="L425" s="12"/>
      <c r="M425" s="399">
        <v>635</v>
      </c>
      <c r="N425" s="399">
        <v>292</v>
      </c>
      <c r="O425" s="12"/>
      <c r="P425" s="12"/>
      <c r="Q425" s="399">
        <v>292</v>
      </c>
      <c r="R425" s="17">
        <v>292</v>
      </c>
      <c r="S425" s="12"/>
      <c r="T425" s="12"/>
      <c r="U425" s="17">
        <v>292</v>
      </c>
      <c r="V425" s="17">
        <v>343</v>
      </c>
      <c r="W425" s="19">
        <f t="shared" si="281"/>
        <v>129</v>
      </c>
      <c r="X425" s="19">
        <v>129</v>
      </c>
      <c r="Y425" s="19"/>
      <c r="Z425" s="19"/>
      <c r="AA425" s="19"/>
      <c r="AB425" s="108"/>
      <c r="AC425" s="380">
        <f t="shared" si="271"/>
        <v>0</v>
      </c>
    </row>
    <row r="426" spans="1:36" s="8" customFormat="1" ht="49.5" customHeight="1">
      <c r="A426" s="430" t="s">
        <v>144</v>
      </c>
      <c r="B426" s="43" t="s">
        <v>557</v>
      </c>
      <c r="C426" s="43" t="s">
        <v>526</v>
      </c>
      <c r="D426" s="537"/>
      <c r="E426" s="456"/>
      <c r="F426" s="18"/>
      <c r="G426" s="11"/>
      <c r="H426" s="309"/>
      <c r="I426" s="406"/>
      <c r="J426" s="457">
        <f t="shared" ref="J426:AA426" si="282">+J427+J428</f>
        <v>2887</v>
      </c>
      <c r="K426" s="457">
        <f t="shared" si="282"/>
        <v>0</v>
      </c>
      <c r="L426" s="457">
        <f t="shared" si="282"/>
        <v>0</v>
      </c>
      <c r="M426" s="457">
        <f t="shared" si="282"/>
        <v>2887</v>
      </c>
      <c r="N426" s="457">
        <f t="shared" si="282"/>
        <v>1930</v>
      </c>
      <c r="O426" s="457">
        <f t="shared" si="282"/>
        <v>0</v>
      </c>
      <c r="P426" s="457">
        <f t="shared" si="282"/>
        <v>0</v>
      </c>
      <c r="Q426" s="457">
        <f t="shared" si="282"/>
        <v>1930</v>
      </c>
      <c r="R426" s="457">
        <f t="shared" si="282"/>
        <v>1700</v>
      </c>
      <c r="S426" s="457">
        <f t="shared" si="282"/>
        <v>0</v>
      </c>
      <c r="T426" s="457">
        <f t="shared" si="282"/>
        <v>0</v>
      </c>
      <c r="U426" s="457">
        <f t="shared" si="282"/>
        <v>1700</v>
      </c>
      <c r="V426" s="457">
        <f t="shared" si="282"/>
        <v>1002</v>
      </c>
      <c r="W426" s="457">
        <f t="shared" si="282"/>
        <v>488</v>
      </c>
      <c r="X426" s="457">
        <f t="shared" si="282"/>
        <v>488</v>
      </c>
      <c r="Y426" s="457">
        <f t="shared" si="282"/>
        <v>0</v>
      </c>
      <c r="Z426" s="457">
        <f t="shared" si="282"/>
        <v>0</v>
      </c>
      <c r="AA426" s="457">
        <f t="shared" si="282"/>
        <v>0</v>
      </c>
      <c r="AB426" s="108" t="s">
        <v>1639</v>
      </c>
      <c r="AC426" s="380">
        <f t="shared" si="271"/>
        <v>0</v>
      </c>
      <c r="AJ426" s="8" t="s">
        <v>685</v>
      </c>
    </row>
    <row r="427" spans="1:36" s="8" customFormat="1" ht="60" customHeight="1">
      <c r="A427" s="103" t="s">
        <v>502</v>
      </c>
      <c r="B427" s="27" t="s">
        <v>554</v>
      </c>
      <c r="C427" s="43" t="s">
        <v>526</v>
      </c>
      <c r="D427" s="13">
        <v>8045130</v>
      </c>
      <c r="E427" s="626"/>
      <c r="F427" s="13" t="s">
        <v>528</v>
      </c>
      <c r="G427" s="13" t="s">
        <v>197</v>
      </c>
      <c r="H427" s="13" t="s">
        <v>49</v>
      </c>
      <c r="I427" s="13" t="s">
        <v>555</v>
      </c>
      <c r="J427" s="399">
        <v>1360</v>
      </c>
      <c r="K427" s="12"/>
      <c r="L427" s="12"/>
      <c r="M427" s="12">
        <v>1360</v>
      </c>
      <c r="N427" s="17">
        <v>1224</v>
      </c>
      <c r="O427" s="12"/>
      <c r="P427" s="12"/>
      <c r="Q427" s="17">
        <v>1224</v>
      </c>
      <c r="R427" s="399">
        <v>994</v>
      </c>
      <c r="S427" s="12"/>
      <c r="T427" s="12"/>
      <c r="U427" s="399">
        <v>994</v>
      </c>
      <c r="V427" s="19">
        <v>181</v>
      </c>
      <c r="W427" s="19">
        <f>SUM(X427:AA427)</f>
        <v>181</v>
      </c>
      <c r="X427" s="19">
        <v>181</v>
      </c>
      <c r="Y427" s="19"/>
      <c r="Z427" s="19"/>
      <c r="AA427" s="19"/>
      <c r="AB427" s="108"/>
      <c r="AC427" s="380">
        <f t="shared" si="271"/>
        <v>0</v>
      </c>
    </row>
    <row r="428" spans="1:36" s="8" customFormat="1" ht="75.75" customHeight="1">
      <c r="A428" s="103" t="s">
        <v>502</v>
      </c>
      <c r="B428" s="27" t="s">
        <v>556</v>
      </c>
      <c r="C428" s="43" t="s">
        <v>526</v>
      </c>
      <c r="D428" s="13">
        <v>8157520</v>
      </c>
      <c r="E428" s="626"/>
      <c r="F428" s="13" t="s">
        <v>528</v>
      </c>
      <c r="G428" s="13" t="s">
        <v>197</v>
      </c>
      <c r="H428" s="13" t="s">
        <v>299</v>
      </c>
      <c r="I428" s="13" t="s">
        <v>555</v>
      </c>
      <c r="J428" s="399">
        <v>1527</v>
      </c>
      <c r="K428" s="12"/>
      <c r="L428" s="12"/>
      <c r="M428" s="12">
        <v>1527</v>
      </c>
      <c r="N428" s="17">
        <v>706</v>
      </c>
      <c r="O428" s="12"/>
      <c r="P428" s="12"/>
      <c r="Q428" s="17">
        <v>706</v>
      </c>
      <c r="R428" s="399">
        <v>706</v>
      </c>
      <c r="S428" s="12"/>
      <c r="T428" s="12"/>
      <c r="U428" s="399">
        <v>706</v>
      </c>
      <c r="V428" s="399">
        <v>821</v>
      </c>
      <c r="W428" s="19">
        <f>SUM(X428:AA428)</f>
        <v>307</v>
      </c>
      <c r="X428" s="19">
        <v>307</v>
      </c>
      <c r="Y428" s="19"/>
      <c r="Z428" s="19"/>
      <c r="AA428" s="19"/>
      <c r="AB428" s="108"/>
      <c r="AC428" s="380">
        <f t="shared" si="271"/>
        <v>0</v>
      </c>
    </row>
    <row r="429" spans="1:36" s="417" customFormat="1" ht="28.5" customHeight="1">
      <c r="A429" s="327" t="s">
        <v>1306</v>
      </c>
      <c r="B429" s="413" t="s">
        <v>1307</v>
      </c>
      <c r="C429" s="43" t="s">
        <v>526</v>
      </c>
      <c r="D429" s="494"/>
      <c r="E429" s="494"/>
      <c r="F429" s="494"/>
      <c r="G429" s="494"/>
      <c r="H429" s="494"/>
      <c r="I429" s="327"/>
      <c r="J429" s="331"/>
      <c r="K429" s="331"/>
      <c r="L429" s="331"/>
      <c r="M429" s="331"/>
      <c r="N429" s="331"/>
      <c r="O429" s="331"/>
      <c r="P429" s="331"/>
      <c r="Q429" s="331"/>
      <c r="R429" s="331"/>
      <c r="S429" s="331"/>
      <c r="T429" s="331"/>
      <c r="U429" s="331"/>
      <c r="V429" s="331"/>
      <c r="W429" s="331"/>
      <c r="X429" s="331"/>
      <c r="Y429" s="331"/>
      <c r="Z429" s="331"/>
      <c r="AA429" s="331"/>
      <c r="AB429" s="332"/>
      <c r="AC429" s="380">
        <f t="shared" si="271"/>
        <v>0</v>
      </c>
    </row>
    <row r="430" spans="1:36" s="231" customFormat="1" ht="32.25" customHeight="1">
      <c r="A430" s="426" t="s">
        <v>1327</v>
      </c>
      <c r="B430" s="655" t="s">
        <v>533</v>
      </c>
      <c r="C430" s="655" t="s">
        <v>533</v>
      </c>
      <c r="D430" s="656"/>
      <c r="E430" s="462"/>
      <c r="F430" s="463"/>
      <c r="G430" s="318"/>
      <c r="H430" s="311"/>
      <c r="I430" s="610"/>
      <c r="J430" s="465">
        <f t="shared" ref="J430:AA430" si="283">+J431</f>
        <v>1387</v>
      </c>
      <c r="K430" s="465">
        <f t="shared" si="283"/>
        <v>0</v>
      </c>
      <c r="L430" s="465">
        <f t="shared" si="283"/>
        <v>0</v>
      </c>
      <c r="M430" s="465">
        <f t="shared" si="283"/>
        <v>1387</v>
      </c>
      <c r="N430" s="465">
        <f t="shared" si="283"/>
        <v>632</v>
      </c>
      <c r="O430" s="465">
        <f t="shared" si="283"/>
        <v>0</v>
      </c>
      <c r="P430" s="465">
        <f t="shared" si="283"/>
        <v>0</v>
      </c>
      <c r="Q430" s="465">
        <f t="shared" si="283"/>
        <v>632</v>
      </c>
      <c r="R430" s="465">
        <f t="shared" si="283"/>
        <v>632</v>
      </c>
      <c r="S430" s="465">
        <f t="shared" si="283"/>
        <v>0</v>
      </c>
      <c r="T430" s="465">
        <f t="shared" si="283"/>
        <v>0</v>
      </c>
      <c r="U430" s="465">
        <f t="shared" si="283"/>
        <v>632</v>
      </c>
      <c r="V430" s="465">
        <f t="shared" si="283"/>
        <v>755</v>
      </c>
      <c r="W430" s="465">
        <f t="shared" si="283"/>
        <v>282</v>
      </c>
      <c r="X430" s="465">
        <f t="shared" si="283"/>
        <v>282</v>
      </c>
      <c r="Y430" s="465">
        <f t="shared" si="283"/>
        <v>0</v>
      </c>
      <c r="Z430" s="465">
        <f t="shared" si="283"/>
        <v>0</v>
      </c>
      <c r="AA430" s="465">
        <f t="shared" si="283"/>
        <v>0</v>
      </c>
      <c r="AB430" s="466"/>
      <c r="AC430" s="380">
        <f t="shared" si="271"/>
        <v>0</v>
      </c>
    </row>
    <row r="431" spans="1:36" s="10" customFormat="1" ht="27.75" customHeight="1">
      <c r="A431" s="393" t="s">
        <v>1328</v>
      </c>
      <c r="B431" s="394" t="s">
        <v>38</v>
      </c>
      <c r="C431" s="43" t="s">
        <v>533</v>
      </c>
      <c r="D431" s="394"/>
      <c r="E431" s="394"/>
      <c r="F431" s="419"/>
      <c r="G431" s="419"/>
      <c r="H431" s="420"/>
      <c r="I431" s="421"/>
      <c r="J431" s="453">
        <f t="shared" ref="J431:AA431" si="284">J433+J432+J436</f>
        <v>1387</v>
      </c>
      <c r="K431" s="453">
        <f t="shared" si="284"/>
        <v>0</v>
      </c>
      <c r="L431" s="453">
        <f t="shared" si="284"/>
        <v>0</v>
      </c>
      <c r="M431" s="453">
        <f t="shared" si="284"/>
        <v>1387</v>
      </c>
      <c r="N431" s="453">
        <f t="shared" si="284"/>
        <v>632</v>
      </c>
      <c r="O431" s="453">
        <f t="shared" si="284"/>
        <v>0</v>
      </c>
      <c r="P431" s="453">
        <f t="shared" si="284"/>
        <v>0</v>
      </c>
      <c r="Q431" s="453">
        <f t="shared" si="284"/>
        <v>632</v>
      </c>
      <c r="R431" s="453">
        <f t="shared" si="284"/>
        <v>632</v>
      </c>
      <c r="S431" s="453">
        <f t="shared" si="284"/>
        <v>0</v>
      </c>
      <c r="T431" s="453">
        <f t="shared" si="284"/>
        <v>0</v>
      </c>
      <c r="U431" s="453">
        <f t="shared" si="284"/>
        <v>632</v>
      </c>
      <c r="V431" s="453">
        <f t="shared" si="284"/>
        <v>755</v>
      </c>
      <c r="W431" s="453">
        <f t="shared" si="284"/>
        <v>282</v>
      </c>
      <c r="X431" s="453">
        <f t="shared" si="284"/>
        <v>282</v>
      </c>
      <c r="Y431" s="453">
        <f t="shared" si="284"/>
        <v>0</v>
      </c>
      <c r="Z431" s="453">
        <f t="shared" si="284"/>
        <v>0</v>
      </c>
      <c r="AA431" s="453">
        <f t="shared" si="284"/>
        <v>0</v>
      </c>
      <c r="AB431" s="454"/>
      <c r="AC431" s="380">
        <f t="shared" si="271"/>
        <v>0</v>
      </c>
    </row>
    <row r="432" spans="1:36" s="10" customFormat="1" ht="39.75" customHeight="1">
      <c r="A432" s="332" t="s">
        <v>39</v>
      </c>
      <c r="B432" s="326" t="s">
        <v>1254</v>
      </c>
      <c r="C432" s="43" t="s">
        <v>533</v>
      </c>
      <c r="D432" s="554"/>
      <c r="E432" s="332"/>
      <c r="F432" s="471"/>
      <c r="G432" s="471"/>
      <c r="H432" s="332"/>
      <c r="I432" s="471"/>
      <c r="J432" s="331"/>
      <c r="K432" s="331"/>
      <c r="L432" s="331"/>
      <c r="M432" s="331"/>
      <c r="N432" s="331"/>
      <c r="O432" s="331"/>
      <c r="P432" s="331"/>
      <c r="Q432" s="331"/>
      <c r="R432" s="331"/>
      <c r="S432" s="331"/>
      <c r="T432" s="331"/>
      <c r="U432" s="331"/>
      <c r="V432" s="331"/>
      <c r="W432" s="331"/>
      <c r="X432" s="331"/>
      <c r="Y432" s="331"/>
      <c r="Z432" s="331"/>
      <c r="AA432" s="331"/>
      <c r="AB432" s="332"/>
      <c r="AC432" s="380">
        <f t="shared" si="271"/>
        <v>0</v>
      </c>
    </row>
    <row r="433" spans="1:36" s="10" customFormat="1" ht="45.75" customHeight="1">
      <c r="A433" s="397" t="s">
        <v>467</v>
      </c>
      <c r="B433" s="400" t="s">
        <v>183</v>
      </c>
      <c r="C433" s="43" t="s">
        <v>533</v>
      </c>
      <c r="D433" s="657"/>
      <c r="E433" s="657"/>
      <c r="F433" s="424"/>
      <c r="G433" s="424"/>
      <c r="H433" s="425"/>
      <c r="I433" s="328"/>
      <c r="J433" s="436">
        <f t="shared" ref="J433:AA433" si="285">SUM(J434:J434)</f>
        <v>1387</v>
      </c>
      <c r="K433" s="436">
        <f t="shared" si="285"/>
        <v>0</v>
      </c>
      <c r="L433" s="436">
        <f t="shared" si="285"/>
        <v>0</v>
      </c>
      <c r="M433" s="436">
        <f t="shared" si="285"/>
        <v>1387</v>
      </c>
      <c r="N433" s="436">
        <f t="shared" si="285"/>
        <v>632</v>
      </c>
      <c r="O433" s="436">
        <f t="shared" si="285"/>
        <v>0</v>
      </c>
      <c r="P433" s="436">
        <f t="shared" si="285"/>
        <v>0</v>
      </c>
      <c r="Q433" s="436">
        <f t="shared" si="285"/>
        <v>632</v>
      </c>
      <c r="R433" s="436">
        <f t="shared" si="285"/>
        <v>632</v>
      </c>
      <c r="S433" s="436">
        <f t="shared" si="285"/>
        <v>0</v>
      </c>
      <c r="T433" s="436">
        <f t="shared" si="285"/>
        <v>0</v>
      </c>
      <c r="U433" s="436">
        <f t="shared" si="285"/>
        <v>632</v>
      </c>
      <c r="V433" s="436">
        <f t="shared" si="285"/>
        <v>755</v>
      </c>
      <c r="W433" s="436">
        <f t="shared" si="285"/>
        <v>282</v>
      </c>
      <c r="X433" s="436">
        <f t="shared" si="285"/>
        <v>282</v>
      </c>
      <c r="Y433" s="436">
        <f t="shared" si="285"/>
        <v>0</v>
      </c>
      <c r="Z433" s="436">
        <f t="shared" si="285"/>
        <v>0</v>
      </c>
      <c r="AA433" s="436">
        <f t="shared" si="285"/>
        <v>0</v>
      </c>
      <c r="AB433" s="437"/>
      <c r="AC433" s="380">
        <f t="shared" si="271"/>
        <v>0</v>
      </c>
    </row>
    <row r="434" spans="1:36" s="8" customFormat="1" ht="49.5" customHeight="1">
      <c r="A434" s="430" t="s">
        <v>144</v>
      </c>
      <c r="B434" s="43" t="s">
        <v>504</v>
      </c>
      <c r="C434" s="43" t="s">
        <v>533</v>
      </c>
      <c r="D434" s="537"/>
      <c r="E434" s="456"/>
      <c r="F434" s="18"/>
      <c r="G434" s="11"/>
      <c r="H434" s="309"/>
      <c r="I434" s="406"/>
      <c r="J434" s="457">
        <f t="shared" ref="J434:AA434" si="286">+J435</f>
        <v>1387</v>
      </c>
      <c r="K434" s="457">
        <f t="shared" si="286"/>
        <v>0</v>
      </c>
      <c r="L434" s="457">
        <f t="shared" si="286"/>
        <v>0</v>
      </c>
      <c r="M434" s="457">
        <f t="shared" si="286"/>
        <v>1387</v>
      </c>
      <c r="N434" s="457">
        <f t="shared" si="286"/>
        <v>632</v>
      </c>
      <c r="O434" s="457">
        <f t="shared" si="286"/>
        <v>0</v>
      </c>
      <c r="P434" s="457">
        <f t="shared" si="286"/>
        <v>0</v>
      </c>
      <c r="Q434" s="457">
        <f t="shared" si="286"/>
        <v>632</v>
      </c>
      <c r="R434" s="457">
        <f t="shared" si="286"/>
        <v>632</v>
      </c>
      <c r="S434" s="457">
        <f t="shared" si="286"/>
        <v>0</v>
      </c>
      <c r="T434" s="457">
        <f t="shared" si="286"/>
        <v>0</v>
      </c>
      <c r="U434" s="457">
        <f t="shared" si="286"/>
        <v>632</v>
      </c>
      <c r="V434" s="457">
        <f t="shared" si="286"/>
        <v>755</v>
      </c>
      <c r="W434" s="457">
        <f t="shared" si="286"/>
        <v>282</v>
      </c>
      <c r="X434" s="457">
        <f t="shared" si="286"/>
        <v>282</v>
      </c>
      <c r="Y434" s="457">
        <f t="shared" si="286"/>
        <v>0</v>
      </c>
      <c r="Z434" s="457">
        <f t="shared" si="286"/>
        <v>0</v>
      </c>
      <c r="AA434" s="457">
        <f t="shared" si="286"/>
        <v>0</v>
      </c>
      <c r="AB434" s="108" t="s">
        <v>1639</v>
      </c>
      <c r="AC434" s="380">
        <f t="shared" si="271"/>
        <v>0</v>
      </c>
      <c r="AJ434" s="8" t="s">
        <v>685</v>
      </c>
    </row>
    <row r="435" spans="1:36" s="8" customFormat="1" ht="54.75" customHeight="1">
      <c r="A435" s="103" t="s">
        <v>502</v>
      </c>
      <c r="B435" s="27" t="s">
        <v>534</v>
      </c>
      <c r="C435" s="43" t="s">
        <v>533</v>
      </c>
      <c r="D435" s="13">
        <v>81767085</v>
      </c>
      <c r="E435" s="626"/>
      <c r="F435" s="13" t="s">
        <v>535</v>
      </c>
      <c r="G435" s="13" t="s">
        <v>186</v>
      </c>
      <c r="H435" s="13" t="s">
        <v>536</v>
      </c>
      <c r="I435" s="13" t="s">
        <v>537</v>
      </c>
      <c r="J435" s="399">
        <v>1387</v>
      </c>
      <c r="K435" s="12"/>
      <c r="L435" s="12"/>
      <c r="M435" s="399">
        <v>1387</v>
      </c>
      <c r="N435" s="399">
        <v>632</v>
      </c>
      <c r="O435" s="12"/>
      <c r="P435" s="12"/>
      <c r="Q435" s="399">
        <v>632</v>
      </c>
      <c r="R435" s="17">
        <v>632</v>
      </c>
      <c r="S435" s="12"/>
      <c r="T435" s="12"/>
      <c r="U435" s="17">
        <v>632</v>
      </c>
      <c r="V435" s="19">
        <v>755</v>
      </c>
      <c r="W435" s="19">
        <f>SUM(X435:AA435)</f>
        <v>282</v>
      </c>
      <c r="X435" s="19">
        <v>282</v>
      </c>
      <c r="Y435" s="19"/>
      <c r="Z435" s="19"/>
      <c r="AA435" s="19"/>
      <c r="AB435" s="108"/>
      <c r="AC435" s="380">
        <f t="shared" si="271"/>
        <v>0</v>
      </c>
    </row>
    <row r="436" spans="1:36" s="417" customFormat="1" ht="28.5" customHeight="1">
      <c r="A436" s="327" t="s">
        <v>1306</v>
      </c>
      <c r="B436" s="413" t="s">
        <v>1307</v>
      </c>
      <c r="C436" s="43" t="s">
        <v>533</v>
      </c>
      <c r="D436" s="494"/>
      <c r="E436" s="494"/>
      <c r="F436" s="494"/>
      <c r="G436" s="494"/>
      <c r="H436" s="494"/>
      <c r="I436" s="327"/>
      <c r="J436" s="331"/>
      <c r="K436" s="331"/>
      <c r="L436" s="331"/>
      <c r="M436" s="331"/>
      <c r="N436" s="331"/>
      <c r="O436" s="331"/>
      <c r="P436" s="331"/>
      <c r="Q436" s="331"/>
      <c r="R436" s="331"/>
      <c r="S436" s="331"/>
      <c r="T436" s="331"/>
      <c r="U436" s="331"/>
      <c r="V436" s="331"/>
      <c r="W436" s="331"/>
      <c r="X436" s="331"/>
      <c r="Y436" s="331"/>
      <c r="Z436" s="331"/>
      <c r="AA436" s="331"/>
      <c r="AB436" s="332"/>
      <c r="AC436" s="380">
        <f t="shared" si="271"/>
        <v>0</v>
      </c>
    </row>
    <row r="437" spans="1:36" s="231" customFormat="1" ht="32.25" customHeight="1">
      <c r="A437" s="426" t="s">
        <v>1329</v>
      </c>
      <c r="B437" s="655" t="s">
        <v>538</v>
      </c>
      <c r="C437" s="655" t="s">
        <v>538</v>
      </c>
      <c r="D437" s="656"/>
      <c r="E437" s="462"/>
      <c r="F437" s="463"/>
      <c r="G437" s="318"/>
      <c r="H437" s="311"/>
      <c r="I437" s="610"/>
      <c r="J437" s="465">
        <f t="shared" ref="J437:AA437" si="287">+J438</f>
        <v>1113</v>
      </c>
      <c r="K437" s="465">
        <f t="shared" si="287"/>
        <v>0</v>
      </c>
      <c r="L437" s="465">
        <f t="shared" si="287"/>
        <v>0</v>
      </c>
      <c r="M437" s="465">
        <f t="shared" si="287"/>
        <v>1113</v>
      </c>
      <c r="N437" s="465">
        <f t="shared" si="287"/>
        <v>903</v>
      </c>
      <c r="O437" s="465">
        <f t="shared" si="287"/>
        <v>0</v>
      </c>
      <c r="P437" s="465">
        <f t="shared" si="287"/>
        <v>0</v>
      </c>
      <c r="Q437" s="465">
        <f t="shared" si="287"/>
        <v>903</v>
      </c>
      <c r="R437" s="465">
        <f t="shared" si="287"/>
        <v>969</v>
      </c>
      <c r="S437" s="465">
        <f t="shared" si="287"/>
        <v>0</v>
      </c>
      <c r="T437" s="465">
        <f t="shared" si="287"/>
        <v>0</v>
      </c>
      <c r="U437" s="465">
        <f t="shared" si="287"/>
        <v>969</v>
      </c>
      <c r="V437" s="465">
        <f t="shared" si="287"/>
        <v>223</v>
      </c>
      <c r="W437" s="465">
        <f t="shared" si="287"/>
        <v>144</v>
      </c>
      <c r="X437" s="465">
        <f t="shared" si="287"/>
        <v>144</v>
      </c>
      <c r="Y437" s="465">
        <f t="shared" si="287"/>
        <v>0</v>
      </c>
      <c r="Z437" s="465">
        <f t="shared" si="287"/>
        <v>0</v>
      </c>
      <c r="AA437" s="465">
        <f t="shared" si="287"/>
        <v>0</v>
      </c>
      <c r="AB437" s="466"/>
      <c r="AC437" s="380">
        <f t="shared" si="271"/>
        <v>0</v>
      </c>
    </row>
    <row r="438" spans="1:36" s="10" customFormat="1" ht="27.75" customHeight="1">
      <c r="A438" s="393" t="s">
        <v>1330</v>
      </c>
      <c r="B438" s="394" t="s">
        <v>38</v>
      </c>
      <c r="C438" s="43" t="s">
        <v>538</v>
      </c>
      <c r="D438" s="394"/>
      <c r="E438" s="394"/>
      <c r="F438" s="419"/>
      <c r="G438" s="419"/>
      <c r="H438" s="420"/>
      <c r="I438" s="421"/>
      <c r="J438" s="453">
        <f t="shared" ref="J438:AA438" si="288">J440+J439+J445</f>
        <v>1113</v>
      </c>
      <c r="K438" s="453">
        <f t="shared" si="288"/>
        <v>0</v>
      </c>
      <c r="L438" s="453">
        <f t="shared" si="288"/>
        <v>0</v>
      </c>
      <c r="M438" s="453">
        <f t="shared" si="288"/>
        <v>1113</v>
      </c>
      <c r="N438" s="453">
        <f t="shared" si="288"/>
        <v>903</v>
      </c>
      <c r="O438" s="453">
        <f t="shared" si="288"/>
        <v>0</v>
      </c>
      <c r="P438" s="453">
        <f t="shared" si="288"/>
        <v>0</v>
      </c>
      <c r="Q438" s="453">
        <f t="shared" si="288"/>
        <v>903</v>
      </c>
      <c r="R438" s="453">
        <f t="shared" si="288"/>
        <v>969</v>
      </c>
      <c r="S438" s="453">
        <f t="shared" si="288"/>
        <v>0</v>
      </c>
      <c r="T438" s="453">
        <f t="shared" si="288"/>
        <v>0</v>
      </c>
      <c r="U438" s="453">
        <f t="shared" si="288"/>
        <v>969</v>
      </c>
      <c r="V438" s="453">
        <f t="shared" si="288"/>
        <v>223</v>
      </c>
      <c r="W438" s="453">
        <f t="shared" si="288"/>
        <v>144</v>
      </c>
      <c r="X438" s="453">
        <f t="shared" si="288"/>
        <v>144</v>
      </c>
      <c r="Y438" s="453">
        <f t="shared" si="288"/>
        <v>0</v>
      </c>
      <c r="Z438" s="453">
        <f t="shared" si="288"/>
        <v>0</v>
      </c>
      <c r="AA438" s="453">
        <f t="shared" si="288"/>
        <v>0</v>
      </c>
      <c r="AB438" s="454"/>
      <c r="AC438" s="380">
        <f t="shared" si="271"/>
        <v>0</v>
      </c>
    </row>
    <row r="439" spans="1:36" s="10" customFormat="1" ht="39.75" customHeight="1">
      <c r="A439" s="332" t="s">
        <v>39</v>
      </c>
      <c r="B439" s="326" t="s">
        <v>1254</v>
      </c>
      <c r="C439" s="43" t="s">
        <v>538</v>
      </c>
      <c r="D439" s="554"/>
      <c r="E439" s="332"/>
      <c r="F439" s="471"/>
      <c r="G439" s="471"/>
      <c r="H439" s="332"/>
      <c r="I439" s="471"/>
      <c r="J439" s="331"/>
      <c r="K439" s="331"/>
      <c r="L439" s="331"/>
      <c r="M439" s="331"/>
      <c r="N439" s="331"/>
      <c r="O439" s="331"/>
      <c r="P439" s="331"/>
      <c r="Q439" s="331"/>
      <c r="R439" s="331"/>
      <c r="S439" s="331"/>
      <c r="T439" s="331"/>
      <c r="U439" s="331"/>
      <c r="V439" s="331"/>
      <c r="W439" s="331"/>
      <c r="X439" s="331"/>
      <c r="Y439" s="331"/>
      <c r="Z439" s="331"/>
      <c r="AA439" s="331"/>
      <c r="AB439" s="332"/>
      <c r="AC439" s="380">
        <f t="shared" si="271"/>
        <v>0</v>
      </c>
    </row>
    <row r="440" spans="1:36" s="10" customFormat="1" ht="49.5" customHeight="1">
      <c r="A440" s="397" t="s">
        <v>467</v>
      </c>
      <c r="B440" s="400" t="s">
        <v>183</v>
      </c>
      <c r="C440" s="43" t="s">
        <v>538</v>
      </c>
      <c r="D440" s="657"/>
      <c r="E440" s="657"/>
      <c r="F440" s="424"/>
      <c r="G440" s="424"/>
      <c r="H440" s="425"/>
      <c r="I440" s="328"/>
      <c r="J440" s="436">
        <f t="shared" ref="J440:AA440" si="289">+J441+J443</f>
        <v>1113</v>
      </c>
      <c r="K440" s="436">
        <f t="shared" si="289"/>
        <v>0</v>
      </c>
      <c r="L440" s="436">
        <f t="shared" si="289"/>
        <v>0</v>
      </c>
      <c r="M440" s="436">
        <f t="shared" si="289"/>
        <v>1113</v>
      </c>
      <c r="N440" s="436">
        <f t="shared" si="289"/>
        <v>903</v>
      </c>
      <c r="O440" s="436">
        <f t="shared" si="289"/>
        <v>0</v>
      </c>
      <c r="P440" s="436">
        <f t="shared" si="289"/>
        <v>0</v>
      </c>
      <c r="Q440" s="436">
        <f t="shared" si="289"/>
        <v>903</v>
      </c>
      <c r="R440" s="436">
        <f t="shared" si="289"/>
        <v>969</v>
      </c>
      <c r="S440" s="436">
        <f t="shared" si="289"/>
        <v>0</v>
      </c>
      <c r="T440" s="436">
        <f t="shared" si="289"/>
        <v>0</v>
      </c>
      <c r="U440" s="436">
        <f t="shared" si="289"/>
        <v>969</v>
      </c>
      <c r="V440" s="436">
        <f t="shared" si="289"/>
        <v>223</v>
      </c>
      <c r="W440" s="436">
        <f t="shared" si="289"/>
        <v>144</v>
      </c>
      <c r="X440" s="436">
        <f t="shared" si="289"/>
        <v>144</v>
      </c>
      <c r="Y440" s="436">
        <f t="shared" si="289"/>
        <v>0</v>
      </c>
      <c r="Z440" s="436">
        <f t="shared" si="289"/>
        <v>0</v>
      </c>
      <c r="AA440" s="436">
        <f t="shared" si="289"/>
        <v>0</v>
      </c>
      <c r="AB440" s="437"/>
      <c r="AC440" s="380">
        <f t="shared" si="271"/>
        <v>0</v>
      </c>
    </row>
    <row r="441" spans="1:36" s="8" customFormat="1" ht="49.5" customHeight="1">
      <c r="A441" s="430" t="s">
        <v>144</v>
      </c>
      <c r="B441" s="43" t="s">
        <v>504</v>
      </c>
      <c r="C441" s="43" t="s">
        <v>538</v>
      </c>
      <c r="D441" s="537"/>
      <c r="E441" s="456"/>
      <c r="F441" s="18"/>
      <c r="G441" s="11"/>
      <c r="H441" s="309"/>
      <c r="I441" s="406"/>
      <c r="J441" s="457">
        <f t="shared" ref="J441:AA441" si="290">+J442</f>
        <v>616</v>
      </c>
      <c r="K441" s="457">
        <f t="shared" si="290"/>
        <v>0</v>
      </c>
      <c r="L441" s="457">
        <f t="shared" si="290"/>
        <v>0</v>
      </c>
      <c r="M441" s="457">
        <f t="shared" si="290"/>
        <v>616</v>
      </c>
      <c r="N441" s="457">
        <f t="shared" si="290"/>
        <v>456</v>
      </c>
      <c r="O441" s="457">
        <f t="shared" si="290"/>
        <v>0</v>
      </c>
      <c r="P441" s="457">
        <f t="shared" si="290"/>
        <v>0</v>
      </c>
      <c r="Q441" s="457">
        <f t="shared" si="290"/>
        <v>456</v>
      </c>
      <c r="R441" s="457">
        <f t="shared" si="290"/>
        <v>536</v>
      </c>
      <c r="S441" s="457">
        <f t="shared" si="290"/>
        <v>0</v>
      </c>
      <c r="T441" s="457">
        <f t="shared" si="290"/>
        <v>0</v>
      </c>
      <c r="U441" s="457">
        <f t="shared" si="290"/>
        <v>536</v>
      </c>
      <c r="V441" s="457">
        <f t="shared" si="290"/>
        <v>159</v>
      </c>
      <c r="W441" s="457">
        <f t="shared" si="290"/>
        <v>80</v>
      </c>
      <c r="X441" s="457">
        <f t="shared" si="290"/>
        <v>80</v>
      </c>
      <c r="Y441" s="457">
        <f t="shared" si="290"/>
        <v>0</v>
      </c>
      <c r="Z441" s="457">
        <f t="shared" si="290"/>
        <v>0</v>
      </c>
      <c r="AA441" s="457">
        <f t="shared" si="290"/>
        <v>0</v>
      </c>
      <c r="AB441" s="108" t="s">
        <v>1622</v>
      </c>
      <c r="AC441" s="380">
        <f t="shared" si="271"/>
        <v>0</v>
      </c>
      <c r="AJ441" s="8" t="s">
        <v>685</v>
      </c>
    </row>
    <row r="442" spans="1:36" s="8" customFormat="1" ht="57" customHeight="1">
      <c r="A442" s="103" t="s">
        <v>502</v>
      </c>
      <c r="B442" s="43" t="s">
        <v>539</v>
      </c>
      <c r="C442" s="43" t="s">
        <v>538</v>
      </c>
      <c r="D442" s="26" t="s">
        <v>540</v>
      </c>
      <c r="E442" s="626"/>
      <c r="F442" s="13" t="s">
        <v>541</v>
      </c>
      <c r="G442" s="21" t="s">
        <v>186</v>
      </c>
      <c r="H442" s="13" t="s">
        <v>240</v>
      </c>
      <c r="I442" s="13" t="s">
        <v>542</v>
      </c>
      <c r="J442" s="19">
        <v>616</v>
      </c>
      <c r="K442" s="12"/>
      <c r="L442" s="12"/>
      <c r="M442" s="19">
        <v>616</v>
      </c>
      <c r="N442" s="19">
        <v>456</v>
      </c>
      <c r="O442" s="12"/>
      <c r="P442" s="12"/>
      <c r="Q442" s="19">
        <v>456</v>
      </c>
      <c r="R442" s="19">
        <f>616-80</f>
        <v>536</v>
      </c>
      <c r="S442" s="12"/>
      <c r="T442" s="12"/>
      <c r="U442" s="19">
        <f>616-80</f>
        <v>536</v>
      </c>
      <c r="V442" s="19">
        <v>159</v>
      </c>
      <c r="W442" s="19">
        <f>SUM(X442:AA442)</f>
        <v>80</v>
      </c>
      <c r="X442" s="19">
        <v>80</v>
      </c>
      <c r="Y442" s="19"/>
      <c r="Z442" s="19"/>
      <c r="AA442" s="19"/>
      <c r="AB442" s="108"/>
      <c r="AC442" s="380">
        <f t="shared" si="271"/>
        <v>0</v>
      </c>
    </row>
    <row r="443" spans="1:36" s="8" customFormat="1" ht="57" customHeight="1">
      <c r="A443" s="100" t="s">
        <v>144</v>
      </c>
      <c r="B443" s="43" t="s">
        <v>557</v>
      </c>
      <c r="C443" s="43" t="s">
        <v>538</v>
      </c>
      <c r="D443" s="26"/>
      <c r="E443" s="626"/>
      <c r="F443" s="13"/>
      <c r="G443" s="21"/>
      <c r="H443" s="13"/>
      <c r="I443" s="13"/>
      <c r="J443" s="19">
        <f t="shared" ref="J443:AA443" si="291">+J444</f>
        <v>497</v>
      </c>
      <c r="K443" s="19">
        <f t="shared" si="291"/>
        <v>0</v>
      </c>
      <c r="L443" s="19">
        <f t="shared" si="291"/>
        <v>0</v>
      </c>
      <c r="M443" s="19">
        <f t="shared" si="291"/>
        <v>497</v>
      </c>
      <c r="N443" s="19">
        <f t="shared" si="291"/>
        <v>447</v>
      </c>
      <c r="O443" s="19">
        <f t="shared" si="291"/>
        <v>0</v>
      </c>
      <c r="P443" s="19">
        <f t="shared" si="291"/>
        <v>0</v>
      </c>
      <c r="Q443" s="19">
        <f t="shared" si="291"/>
        <v>447</v>
      </c>
      <c r="R443" s="19">
        <f t="shared" si="291"/>
        <v>433</v>
      </c>
      <c r="S443" s="19">
        <f t="shared" si="291"/>
        <v>0</v>
      </c>
      <c r="T443" s="19">
        <f t="shared" si="291"/>
        <v>0</v>
      </c>
      <c r="U443" s="19">
        <f t="shared" si="291"/>
        <v>433</v>
      </c>
      <c r="V443" s="19">
        <f t="shared" si="291"/>
        <v>64</v>
      </c>
      <c r="W443" s="19">
        <f t="shared" si="291"/>
        <v>64</v>
      </c>
      <c r="X443" s="19">
        <f t="shared" si="291"/>
        <v>64</v>
      </c>
      <c r="Y443" s="19">
        <f t="shared" si="291"/>
        <v>0</v>
      </c>
      <c r="Z443" s="19">
        <f t="shared" si="291"/>
        <v>0</v>
      </c>
      <c r="AA443" s="19">
        <f t="shared" si="291"/>
        <v>0</v>
      </c>
      <c r="AB443" s="108" t="s">
        <v>1622</v>
      </c>
      <c r="AC443" s="380">
        <f t="shared" si="271"/>
        <v>0</v>
      </c>
      <c r="AJ443" s="8" t="s">
        <v>685</v>
      </c>
    </row>
    <row r="444" spans="1:36" s="8" customFormat="1" ht="60" customHeight="1">
      <c r="A444" s="100" t="s">
        <v>502</v>
      </c>
      <c r="B444" s="43" t="s">
        <v>564</v>
      </c>
      <c r="C444" s="43" t="s">
        <v>538</v>
      </c>
      <c r="D444" s="26" t="s">
        <v>565</v>
      </c>
      <c r="E444" s="626"/>
      <c r="F444" s="13" t="s">
        <v>566</v>
      </c>
      <c r="G444" s="21" t="s">
        <v>186</v>
      </c>
      <c r="H444" s="20" t="s">
        <v>49</v>
      </c>
      <c r="I444" s="13" t="s">
        <v>567</v>
      </c>
      <c r="J444" s="19">
        <v>497</v>
      </c>
      <c r="K444" s="12"/>
      <c r="L444" s="12"/>
      <c r="M444" s="12">
        <v>497</v>
      </c>
      <c r="N444" s="19">
        <v>447</v>
      </c>
      <c r="O444" s="12"/>
      <c r="P444" s="12"/>
      <c r="Q444" s="19">
        <v>447</v>
      </c>
      <c r="R444" s="19">
        <v>433</v>
      </c>
      <c r="S444" s="12"/>
      <c r="T444" s="12"/>
      <c r="U444" s="19">
        <v>433</v>
      </c>
      <c r="V444" s="19">
        <v>64</v>
      </c>
      <c r="W444" s="19">
        <f>SUM(X444:AA444)</f>
        <v>64</v>
      </c>
      <c r="X444" s="19">
        <v>64</v>
      </c>
      <c r="Y444" s="19"/>
      <c r="Z444" s="19"/>
      <c r="AA444" s="19"/>
      <c r="AB444" s="123"/>
      <c r="AC444" s="380">
        <f t="shared" si="271"/>
        <v>0</v>
      </c>
    </row>
    <row r="445" spans="1:36" s="417" customFormat="1" ht="28.5" customHeight="1">
      <c r="A445" s="327" t="s">
        <v>1306</v>
      </c>
      <c r="B445" s="413" t="s">
        <v>1307</v>
      </c>
      <c r="C445" s="43" t="s">
        <v>538</v>
      </c>
      <c r="D445" s="494"/>
      <c r="E445" s="494"/>
      <c r="F445" s="494"/>
      <c r="G445" s="494"/>
      <c r="H445" s="494"/>
      <c r="I445" s="327"/>
      <c r="J445" s="331"/>
      <c r="K445" s="331"/>
      <c r="L445" s="331"/>
      <c r="M445" s="331"/>
      <c r="N445" s="331"/>
      <c r="O445" s="331"/>
      <c r="P445" s="331"/>
      <c r="Q445" s="331"/>
      <c r="R445" s="331"/>
      <c r="S445" s="331"/>
      <c r="T445" s="331"/>
      <c r="U445" s="331"/>
      <c r="V445" s="331"/>
      <c r="W445" s="331"/>
      <c r="X445" s="331"/>
      <c r="Y445" s="331"/>
      <c r="Z445" s="331"/>
      <c r="AA445" s="331"/>
      <c r="AB445" s="332"/>
      <c r="AC445" s="380">
        <f t="shared" si="271"/>
        <v>0</v>
      </c>
    </row>
    <row r="446" spans="1:36" s="231" customFormat="1" ht="32.25" customHeight="1">
      <c r="A446" s="426" t="s">
        <v>1341</v>
      </c>
      <c r="B446" s="655" t="s">
        <v>543</v>
      </c>
      <c r="C446" s="655" t="s">
        <v>543</v>
      </c>
      <c r="D446" s="656"/>
      <c r="E446" s="462"/>
      <c r="F446" s="463"/>
      <c r="G446" s="318"/>
      <c r="H446" s="311"/>
      <c r="I446" s="610"/>
      <c r="J446" s="465">
        <f t="shared" ref="J446:AA446" si="292">+J447</f>
        <v>13216</v>
      </c>
      <c r="K446" s="465">
        <f t="shared" si="292"/>
        <v>0</v>
      </c>
      <c r="L446" s="465">
        <f t="shared" si="292"/>
        <v>0</v>
      </c>
      <c r="M446" s="465">
        <f t="shared" si="292"/>
        <v>13216</v>
      </c>
      <c r="N446" s="465">
        <f t="shared" si="292"/>
        <v>8389</v>
      </c>
      <c r="O446" s="465">
        <f t="shared" si="292"/>
        <v>0</v>
      </c>
      <c r="P446" s="465">
        <f t="shared" si="292"/>
        <v>0</v>
      </c>
      <c r="Q446" s="465">
        <f t="shared" si="292"/>
        <v>8389</v>
      </c>
      <c r="R446" s="465">
        <f t="shared" si="292"/>
        <v>6415</v>
      </c>
      <c r="S446" s="465">
        <f t="shared" si="292"/>
        <v>0</v>
      </c>
      <c r="T446" s="465">
        <f t="shared" si="292"/>
        <v>0</v>
      </c>
      <c r="U446" s="465">
        <f t="shared" si="292"/>
        <v>6415</v>
      </c>
      <c r="V446" s="465">
        <f t="shared" si="292"/>
        <v>2464</v>
      </c>
      <c r="W446" s="465">
        <f t="shared" si="292"/>
        <v>1285</v>
      </c>
      <c r="X446" s="465">
        <f t="shared" si="292"/>
        <v>1285</v>
      </c>
      <c r="Y446" s="465">
        <f t="shared" si="292"/>
        <v>0</v>
      </c>
      <c r="Z446" s="465">
        <f t="shared" si="292"/>
        <v>0</v>
      </c>
      <c r="AA446" s="465">
        <f t="shared" si="292"/>
        <v>0</v>
      </c>
      <c r="AB446" s="466"/>
      <c r="AC446" s="380">
        <f t="shared" si="271"/>
        <v>0</v>
      </c>
    </row>
    <row r="447" spans="1:36" s="10" customFormat="1" ht="27.75" customHeight="1">
      <c r="A447" s="393" t="s">
        <v>1342</v>
      </c>
      <c r="B447" s="394" t="s">
        <v>38</v>
      </c>
      <c r="C447" s="43" t="s">
        <v>543</v>
      </c>
      <c r="D447" s="394"/>
      <c r="E447" s="394"/>
      <c r="F447" s="419"/>
      <c r="G447" s="419"/>
      <c r="H447" s="420"/>
      <c r="I447" s="421"/>
      <c r="J447" s="453">
        <f t="shared" ref="J447:AA447" si="293">J449+J448+J456</f>
        <v>13216</v>
      </c>
      <c r="K447" s="453">
        <f t="shared" si="293"/>
        <v>0</v>
      </c>
      <c r="L447" s="453">
        <f t="shared" si="293"/>
        <v>0</v>
      </c>
      <c r="M447" s="453">
        <f t="shared" si="293"/>
        <v>13216</v>
      </c>
      <c r="N447" s="453">
        <f t="shared" si="293"/>
        <v>8389</v>
      </c>
      <c r="O447" s="453">
        <f t="shared" si="293"/>
        <v>0</v>
      </c>
      <c r="P447" s="453">
        <f t="shared" si="293"/>
        <v>0</v>
      </c>
      <c r="Q447" s="453">
        <f t="shared" si="293"/>
        <v>8389</v>
      </c>
      <c r="R447" s="453">
        <f t="shared" si="293"/>
        <v>6415</v>
      </c>
      <c r="S447" s="453">
        <f t="shared" si="293"/>
        <v>0</v>
      </c>
      <c r="T447" s="453">
        <f t="shared" si="293"/>
        <v>0</v>
      </c>
      <c r="U447" s="453">
        <f t="shared" si="293"/>
        <v>6415</v>
      </c>
      <c r="V447" s="453">
        <f t="shared" si="293"/>
        <v>2464</v>
      </c>
      <c r="W447" s="453">
        <f t="shared" si="293"/>
        <v>1285</v>
      </c>
      <c r="X447" s="453">
        <f t="shared" si="293"/>
        <v>1285</v>
      </c>
      <c r="Y447" s="453">
        <f t="shared" si="293"/>
        <v>0</v>
      </c>
      <c r="Z447" s="453">
        <f t="shared" si="293"/>
        <v>0</v>
      </c>
      <c r="AA447" s="453">
        <f t="shared" si="293"/>
        <v>0</v>
      </c>
      <c r="AB447" s="454"/>
      <c r="AC447" s="380">
        <f t="shared" si="271"/>
        <v>0</v>
      </c>
    </row>
    <row r="448" spans="1:36" s="10" customFormat="1" ht="39.75" customHeight="1">
      <c r="A448" s="332" t="s">
        <v>39</v>
      </c>
      <c r="B448" s="326" t="s">
        <v>1254</v>
      </c>
      <c r="C448" s="43" t="s">
        <v>543</v>
      </c>
      <c r="D448" s="554"/>
      <c r="E448" s="332"/>
      <c r="F448" s="471"/>
      <c r="G448" s="471"/>
      <c r="H448" s="332"/>
      <c r="I448" s="471"/>
      <c r="J448" s="331"/>
      <c r="K448" s="331"/>
      <c r="L448" s="331"/>
      <c r="M448" s="331"/>
      <c r="N448" s="331"/>
      <c r="O448" s="331"/>
      <c r="P448" s="331"/>
      <c r="Q448" s="331"/>
      <c r="R448" s="331"/>
      <c r="S448" s="331"/>
      <c r="T448" s="331"/>
      <c r="U448" s="331"/>
      <c r="V448" s="331"/>
      <c r="W448" s="331"/>
      <c r="X448" s="331"/>
      <c r="Y448" s="331"/>
      <c r="Z448" s="331"/>
      <c r="AA448" s="331"/>
      <c r="AB448" s="332"/>
      <c r="AC448" s="380">
        <f t="shared" si="271"/>
        <v>0</v>
      </c>
    </row>
    <row r="449" spans="1:36" s="10" customFormat="1" ht="53.25" customHeight="1">
      <c r="A449" s="397" t="s">
        <v>467</v>
      </c>
      <c r="B449" s="400" t="s">
        <v>183</v>
      </c>
      <c r="C449" s="43" t="s">
        <v>543</v>
      </c>
      <c r="D449" s="657"/>
      <c r="E449" s="657"/>
      <c r="F449" s="424"/>
      <c r="G449" s="424"/>
      <c r="H449" s="425"/>
      <c r="I449" s="328"/>
      <c r="J449" s="436">
        <f t="shared" ref="J449:V449" si="294">+J450+J453</f>
        <v>13216</v>
      </c>
      <c r="K449" s="436">
        <f t="shared" si="294"/>
        <v>0</v>
      </c>
      <c r="L449" s="436">
        <f t="shared" si="294"/>
        <v>0</v>
      </c>
      <c r="M449" s="436">
        <f t="shared" si="294"/>
        <v>13216</v>
      </c>
      <c r="N449" s="436">
        <f t="shared" si="294"/>
        <v>8389</v>
      </c>
      <c r="O449" s="436">
        <f t="shared" si="294"/>
        <v>0</v>
      </c>
      <c r="P449" s="436">
        <f t="shared" si="294"/>
        <v>0</v>
      </c>
      <c r="Q449" s="436">
        <f t="shared" si="294"/>
        <v>8389</v>
      </c>
      <c r="R449" s="436">
        <f t="shared" si="294"/>
        <v>6415</v>
      </c>
      <c r="S449" s="436">
        <f t="shared" si="294"/>
        <v>0</v>
      </c>
      <c r="T449" s="436">
        <f t="shared" si="294"/>
        <v>0</v>
      </c>
      <c r="U449" s="436">
        <f t="shared" si="294"/>
        <v>6415</v>
      </c>
      <c r="V449" s="436">
        <f t="shared" si="294"/>
        <v>2464</v>
      </c>
      <c r="W449" s="436">
        <f>W450+W453</f>
        <v>1285</v>
      </c>
      <c r="X449" s="436">
        <f t="shared" ref="X449:AA449" si="295">X450+X453</f>
        <v>1285</v>
      </c>
      <c r="Y449" s="436">
        <f t="shared" si="295"/>
        <v>0</v>
      </c>
      <c r="Z449" s="436">
        <f t="shared" si="295"/>
        <v>0</v>
      </c>
      <c r="AA449" s="436">
        <f t="shared" si="295"/>
        <v>0</v>
      </c>
      <c r="AB449" s="437"/>
      <c r="AC449" s="380">
        <f t="shared" si="271"/>
        <v>0</v>
      </c>
    </row>
    <row r="450" spans="1:36" s="8" customFormat="1" ht="49.5" customHeight="1">
      <c r="A450" s="430" t="s">
        <v>144</v>
      </c>
      <c r="B450" s="43" t="s">
        <v>504</v>
      </c>
      <c r="C450" s="43" t="s">
        <v>543</v>
      </c>
      <c r="D450" s="537"/>
      <c r="E450" s="456"/>
      <c r="F450" s="18"/>
      <c r="G450" s="11"/>
      <c r="H450" s="309"/>
      <c r="I450" s="406"/>
      <c r="J450" s="457">
        <f t="shared" ref="J450:AA450" si="296">+J451+J452</f>
        <v>3562</v>
      </c>
      <c r="K450" s="457">
        <f t="shared" si="296"/>
        <v>0</v>
      </c>
      <c r="L450" s="457">
        <f t="shared" si="296"/>
        <v>0</v>
      </c>
      <c r="M450" s="457">
        <f t="shared" si="296"/>
        <v>3562</v>
      </c>
      <c r="N450" s="457">
        <f t="shared" si="296"/>
        <v>1147</v>
      </c>
      <c r="O450" s="457">
        <f t="shared" si="296"/>
        <v>0</v>
      </c>
      <c r="P450" s="457">
        <f t="shared" si="296"/>
        <v>0</v>
      </c>
      <c r="Q450" s="457">
        <f t="shared" si="296"/>
        <v>1147</v>
      </c>
      <c r="R450" s="457">
        <f t="shared" si="296"/>
        <v>2528</v>
      </c>
      <c r="S450" s="457">
        <f t="shared" si="296"/>
        <v>0</v>
      </c>
      <c r="T450" s="457">
        <f t="shared" si="296"/>
        <v>0</v>
      </c>
      <c r="U450" s="457">
        <f t="shared" si="296"/>
        <v>2528</v>
      </c>
      <c r="V450" s="457">
        <f t="shared" si="296"/>
        <v>685</v>
      </c>
      <c r="W450" s="457">
        <f t="shared" si="296"/>
        <v>342</v>
      </c>
      <c r="X450" s="457">
        <f t="shared" si="296"/>
        <v>342</v>
      </c>
      <c r="Y450" s="457">
        <f t="shared" si="296"/>
        <v>0</v>
      </c>
      <c r="Z450" s="457">
        <f t="shared" si="296"/>
        <v>0</v>
      </c>
      <c r="AA450" s="457">
        <f t="shared" si="296"/>
        <v>0</v>
      </c>
      <c r="AB450" s="108" t="s">
        <v>1639</v>
      </c>
      <c r="AC450" s="380">
        <f t="shared" si="271"/>
        <v>0</v>
      </c>
      <c r="AJ450" s="8" t="s">
        <v>685</v>
      </c>
    </row>
    <row r="451" spans="1:36" s="8" customFormat="1" ht="38.25" customHeight="1">
      <c r="A451" s="659" t="s">
        <v>502</v>
      </c>
      <c r="B451" s="43" t="s">
        <v>544</v>
      </c>
      <c r="C451" s="43" t="s">
        <v>543</v>
      </c>
      <c r="D451" s="26">
        <v>8082537</v>
      </c>
      <c r="E451" s="626"/>
      <c r="F451" s="13"/>
      <c r="G451" s="21" t="s">
        <v>186</v>
      </c>
      <c r="H451" s="13" t="s">
        <v>240</v>
      </c>
      <c r="I451" s="13" t="s">
        <v>511</v>
      </c>
      <c r="J451" s="43">
        <v>2237</v>
      </c>
      <c r="K451" s="12"/>
      <c r="L451" s="12"/>
      <c r="M451" s="43">
        <v>2237</v>
      </c>
      <c r="N451" s="43">
        <v>749</v>
      </c>
      <c r="O451" s="12"/>
      <c r="P451" s="12"/>
      <c r="Q451" s="43">
        <v>749</v>
      </c>
      <c r="R451" s="43">
        <v>1619</v>
      </c>
      <c r="S451" s="12"/>
      <c r="T451" s="12"/>
      <c r="U451" s="43">
        <v>1619</v>
      </c>
      <c r="V451" s="43">
        <v>481</v>
      </c>
      <c r="W451" s="43">
        <f>SUM(X451:AA451)</f>
        <v>239</v>
      </c>
      <c r="X451" s="43">
        <v>239</v>
      </c>
      <c r="Y451" s="43"/>
      <c r="Z451" s="43"/>
      <c r="AA451" s="43"/>
      <c r="AB451" s="108"/>
      <c r="AC451" s="380">
        <f t="shared" si="271"/>
        <v>0</v>
      </c>
    </row>
    <row r="452" spans="1:36" s="7" customFormat="1" ht="38.25" customHeight="1">
      <c r="A452" s="659" t="s">
        <v>502</v>
      </c>
      <c r="B452" s="43" t="s">
        <v>545</v>
      </c>
      <c r="C452" s="43" t="s">
        <v>543</v>
      </c>
      <c r="D452" s="313">
        <v>8082541</v>
      </c>
      <c r="E452" s="626"/>
      <c r="F452" s="13"/>
      <c r="G452" s="313" t="s">
        <v>186</v>
      </c>
      <c r="H452" s="13" t="s">
        <v>240</v>
      </c>
      <c r="I452" s="13" t="s">
        <v>511</v>
      </c>
      <c r="J452" s="19">
        <v>1325</v>
      </c>
      <c r="K452" s="12"/>
      <c r="L452" s="12"/>
      <c r="M452" s="19">
        <v>1325</v>
      </c>
      <c r="N452" s="19">
        <v>398</v>
      </c>
      <c r="O452" s="12"/>
      <c r="P452" s="12"/>
      <c r="Q452" s="19">
        <v>398</v>
      </c>
      <c r="R452" s="19">
        <v>909</v>
      </c>
      <c r="S452" s="12"/>
      <c r="T452" s="12"/>
      <c r="U452" s="19">
        <v>909</v>
      </c>
      <c r="V452" s="19">
        <v>204</v>
      </c>
      <c r="W452" s="43">
        <f>SUM(X452:AA452)</f>
        <v>103</v>
      </c>
      <c r="X452" s="19">
        <v>103</v>
      </c>
      <c r="Y452" s="19"/>
      <c r="Z452" s="19"/>
      <c r="AA452" s="19"/>
      <c r="AB452" s="108"/>
      <c r="AC452" s="380">
        <f t="shared" si="271"/>
        <v>0</v>
      </c>
    </row>
    <row r="453" spans="1:36" s="231" customFormat="1" ht="54" customHeight="1">
      <c r="A453" s="660" t="s">
        <v>144</v>
      </c>
      <c r="B453" s="43" t="s">
        <v>557</v>
      </c>
      <c r="C453" s="43" t="s">
        <v>543</v>
      </c>
      <c r="D453" s="452"/>
      <c r="E453" s="661"/>
      <c r="F453" s="320"/>
      <c r="G453" s="452"/>
      <c r="H453" s="320"/>
      <c r="I453" s="320"/>
      <c r="J453" s="19">
        <f t="shared" ref="J453:AA453" si="297">+J454+J455</f>
        <v>9654</v>
      </c>
      <c r="K453" s="19">
        <f t="shared" si="297"/>
        <v>0</v>
      </c>
      <c r="L453" s="19">
        <f t="shared" si="297"/>
        <v>0</v>
      </c>
      <c r="M453" s="19">
        <f t="shared" si="297"/>
        <v>9654</v>
      </c>
      <c r="N453" s="19">
        <f t="shared" si="297"/>
        <v>7242</v>
      </c>
      <c r="O453" s="19">
        <f t="shared" si="297"/>
        <v>0</v>
      </c>
      <c r="P453" s="19">
        <f t="shared" si="297"/>
        <v>0</v>
      </c>
      <c r="Q453" s="19">
        <f t="shared" si="297"/>
        <v>7242</v>
      </c>
      <c r="R453" s="19">
        <f t="shared" si="297"/>
        <v>3887</v>
      </c>
      <c r="S453" s="19">
        <f t="shared" si="297"/>
        <v>0</v>
      </c>
      <c r="T453" s="19">
        <f t="shared" si="297"/>
        <v>0</v>
      </c>
      <c r="U453" s="19">
        <f t="shared" si="297"/>
        <v>3887</v>
      </c>
      <c r="V453" s="19">
        <f t="shared" si="297"/>
        <v>1779</v>
      </c>
      <c r="W453" s="19">
        <f t="shared" si="297"/>
        <v>943</v>
      </c>
      <c r="X453" s="19">
        <f t="shared" si="297"/>
        <v>943</v>
      </c>
      <c r="Y453" s="19">
        <f t="shared" si="297"/>
        <v>0</v>
      </c>
      <c r="Z453" s="19">
        <f t="shared" si="297"/>
        <v>0</v>
      </c>
      <c r="AA453" s="19">
        <f t="shared" si="297"/>
        <v>0</v>
      </c>
      <c r="AB453" s="108" t="s">
        <v>1639</v>
      </c>
      <c r="AC453" s="380">
        <f t="shared" si="271"/>
        <v>0</v>
      </c>
      <c r="AJ453" s="8" t="s">
        <v>685</v>
      </c>
    </row>
    <row r="454" spans="1:36" s="7" customFormat="1" ht="38.25" customHeight="1">
      <c r="A454" s="100" t="s">
        <v>502</v>
      </c>
      <c r="B454" s="43" t="s">
        <v>564</v>
      </c>
      <c r="C454" s="43" t="s">
        <v>543</v>
      </c>
      <c r="D454" s="313">
        <v>8044090</v>
      </c>
      <c r="E454" s="626"/>
      <c r="F454" s="13"/>
      <c r="G454" s="313" t="s">
        <v>197</v>
      </c>
      <c r="H454" s="313" t="s">
        <v>240</v>
      </c>
      <c r="I454" s="13" t="s">
        <v>568</v>
      </c>
      <c r="J454" s="19">
        <v>1423</v>
      </c>
      <c r="K454" s="12"/>
      <c r="L454" s="12"/>
      <c r="M454" s="12">
        <v>1423</v>
      </c>
      <c r="N454" s="19">
        <v>1281</v>
      </c>
      <c r="O454" s="12"/>
      <c r="P454" s="12"/>
      <c r="Q454" s="19">
        <v>1281</v>
      </c>
      <c r="R454" s="19">
        <v>1044</v>
      </c>
      <c r="S454" s="12"/>
      <c r="T454" s="12"/>
      <c r="U454" s="19">
        <v>1044</v>
      </c>
      <c r="V454" s="19">
        <v>123</v>
      </c>
      <c r="W454" s="19">
        <f>SUM(X454:AA454)</f>
        <v>123</v>
      </c>
      <c r="X454" s="19">
        <v>123</v>
      </c>
      <c r="Y454" s="19"/>
      <c r="Z454" s="19"/>
      <c r="AA454" s="19"/>
      <c r="AB454" s="108"/>
      <c r="AC454" s="380">
        <f t="shared" si="271"/>
        <v>0</v>
      </c>
    </row>
    <row r="455" spans="1:36" s="7" customFormat="1" ht="38.25" customHeight="1">
      <c r="A455" s="100" t="s">
        <v>502</v>
      </c>
      <c r="B455" s="42" t="s">
        <v>569</v>
      </c>
      <c r="C455" s="43" t="s">
        <v>543</v>
      </c>
      <c r="D455" s="313">
        <v>8082536</v>
      </c>
      <c r="E455" s="626"/>
      <c r="F455" s="13"/>
      <c r="G455" s="313" t="s">
        <v>197</v>
      </c>
      <c r="H455" s="313" t="s">
        <v>240</v>
      </c>
      <c r="I455" s="13" t="s">
        <v>568</v>
      </c>
      <c r="J455" s="19">
        <v>8231</v>
      </c>
      <c r="K455" s="12"/>
      <c r="L455" s="12"/>
      <c r="M455" s="12">
        <v>8231</v>
      </c>
      <c r="N455" s="19">
        <v>5961</v>
      </c>
      <c r="O455" s="12"/>
      <c r="P455" s="12"/>
      <c r="Q455" s="19">
        <v>5961</v>
      </c>
      <c r="R455" s="19">
        <v>2843</v>
      </c>
      <c r="S455" s="12"/>
      <c r="T455" s="12"/>
      <c r="U455" s="19">
        <v>2843</v>
      </c>
      <c r="V455" s="19">
        <v>1656</v>
      </c>
      <c r="W455" s="19">
        <f>SUM(X455:AA455)</f>
        <v>820</v>
      </c>
      <c r="X455" s="19">
        <v>820</v>
      </c>
      <c r="Y455" s="19"/>
      <c r="Z455" s="19"/>
      <c r="AA455" s="19"/>
      <c r="AB455" s="108"/>
      <c r="AC455" s="380">
        <f t="shared" si="271"/>
        <v>0</v>
      </c>
    </row>
    <row r="456" spans="1:36" s="417" customFormat="1" ht="28.5" customHeight="1">
      <c r="A456" s="327" t="s">
        <v>1306</v>
      </c>
      <c r="B456" s="413" t="s">
        <v>1307</v>
      </c>
      <c r="C456" s="43" t="s">
        <v>543</v>
      </c>
      <c r="D456" s="494"/>
      <c r="E456" s="494"/>
      <c r="F456" s="494"/>
      <c r="G456" s="494"/>
      <c r="H456" s="494"/>
      <c r="I456" s="327"/>
      <c r="J456" s="331"/>
      <c r="K456" s="331"/>
      <c r="L456" s="331"/>
      <c r="M456" s="331"/>
      <c r="N456" s="331"/>
      <c r="O456" s="331"/>
      <c r="P456" s="331"/>
      <c r="Q456" s="331"/>
      <c r="R456" s="331"/>
      <c r="S456" s="331"/>
      <c r="T456" s="331"/>
      <c r="U456" s="331"/>
      <c r="V456" s="331"/>
      <c r="W456" s="331"/>
      <c r="X456" s="331"/>
      <c r="Y456" s="331"/>
      <c r="Z456" s="331"/>
      <c r="AA456" s="331"/>
      <c r="AB456" s="332"/>
      <c r="AC456" s="380">
        <f t="shared" si="271"/>
        <v>0</v>
      </c>
    </row>
    <row r="457" spans="1:36" s="231" customFormat="1" ht="32.25" customHeight="1">
      <c r="A457" s="426" t="s">
        <v>1343</v>
      </c>
      <c r="B457" s="655" t="s">
        <v>546</v>
      </c>
      <c r="C457" s="655" t="s">
        <v>546</v>
      </c>
      <c r="D457" s="656"/>
      <c r="E457" s="462"/>
      <c r="F457" s="463"/>
      <c r="G457" s="318"/>
      <c r="H457" s="311"/>
      <c r="I457" s="610"/>
      <c r="J457" s="465">
        <f t="shared" ref="J457:AA457" si="298">+J458</f>
        <v>5028</v>
      </c>
      <c r="K457" s="465">
        <f t="shared" si="298"/>
        <v>0</v>
      </c>
      <c r="L457" s="465">
        <f t="shared" si="298"/>
        <v>0</v>
      </c>
      <c r="M457" s="465">
        <f t="shared" si="298"/>
        <v>5028</v>
      </c>
      <c r="N457" s="465">
        <f t="shared" si="298"/>
        <v>3478</v>
      </c>
      <c r="O457" s="465">
        <f t="shared" si="298"/>
        <v>0</v>
      </c>
      <c r="P457" s="465">
        <f t="shared" si="298"/>
        <v>0</v>
      </c>
      <c r="Q457" s="465">
        <f t="shared" si="298"/>
        <v>3478</v>
      </c>
      <c r="R457" s="465">
        <f t="shared" si="298"/>
        <v>3478</v>
      </c>
      <c r="S457" s="465">
        <f t="shared" si="298"/>
        <v>0</v>
      </c>
      <c r="T457" s="465">
        <f t="shared" si="298"/>
        <v>0</v>
      </c>
      <c r="U457" s="465">
        <f t="shared" si="298"/>
        <v>3478</v>
      </c>
      <c r="V457" s="465">
        <f t="shared" si="298"/>
        <v>692</v>
      </c>
      <c r="W457" s="465">
        <f t="shared" si="298"/>
        <v>692</v>
      </c>
      <c r="X457" s="465">
        <f t="shared" si="298"/>
        <v>692</v>
      </c>
      <c r="Y457" s="465">
        <f t="shared" si="298"/>
        <v>0</v>
      </c>
      <c r="Z457" s="465">
        <f t="shared" si="298"/>
        <v>0</v>
      </c>
      <c r="AA457" s="465">
        <f t="shared" si="298"/>
        <v>0</v>
      </c>
      <c r="AB457" s="466"/>
      <c r="AC457" s="380">
        <f t="shared" si="271"/>
        <v>0</v>
      </c>
    </row>
    <row r="458" spans="1:36" s="10" customFormat="1" ht="27.75" customHeight="1">
      <c r="A458" s="393" t="s">
        <v>1344</v>
      </c>
      <c r="B458" s="394" t="s">
        <v>38</v>
      </c>
      <c r="C458" s="43" t="s">
        <v>546</v>
      </c>
      <c r="D458" s="394"/>
      <c r="E458" s="394"/>
      <c r="F458" s="419"/>
      <c r="G458" s="419"/>
      <c r="H458" s="420"/>
      <c r="I458" s="421"/>
      <c r="J458" s="453">
        <f t="shared" ref="J458:AA458" si="299">J460+J459+J465</f>
        <v>5028</v>
      </c>
      <c r="K458" s="453">
        <f t="shared" si="299"/>
        <v>0</v>
      </c>
      <c r="L458" s="453">
        <f t="shared" si="299"/>
        <v>0</v>
      </c>
      <c r="M458" s="453">
        <f t="shared" si="299"/>
        <v>5028</v>
      </c>
      <c r="N458" s="453">
        <f t="shared" si="299"/>
        <v>3478</v>
      </c>
      <c r="O458" s="453">
        <f t="shared" si="299"/>
        <v>0</v>
      </c>
      <c r="P458" s="453">
        <f t="shared" si="299"/>
        <v>0</v>
      </c>
      <c r="Q458" s="453">
        <f t="shared" si="299"/>
        <v>3478</v>
      </c>
      <c r="R458" s="453">
        <f t="shared" si="299"/>
        <v>3478</v>
      </c>
      <c r="S458" s="453">
        <f t="shared" si="299"/>
        <v>0</v>
      </c>
      <c r="T458" s="453">
        <f t="shared" si="299"/>
        <v>0</v>
      </c>
      <c r="U458" s="453">
        <f t="shared" si="299"/>
        <v>3478</v>
      </c>
      <c r="V458" s="453">
        <f t="shared" si="299"/>
        <v>692</v>
      </c>
      <c r="W458" s="453">
        <f t="shared" si="299"/>
        <v>692</v>
      </c>
      <c r="X458" s="453">
        <f t="shared" si="299"/>
        <v>692</v>
      </c>
      <c r="Y458" s="453">
        <f t="shared" si="299"/>
        <v>0</v>
      </c>
      <c r="Z458" s="453">
        <f t="shared" si="299"/>
        <v>0</v>
      </c>
      <c r="AA458" s="453">
        <f t="shared" si="299"/>
        <v>0</v>
      </c>
      <c r="AB458" s="454"/>
      <c r="AC458" s="380">
        <f t="shared" si="271"/>
        <v>0</v>
      </c>
    </row>
    <row r="459" spans="1:36" s="10" customFormat="1" ht="39.75" customHeight="1">
      <c r="A459" s="332" t="s">
        <v>39</v>
      </c>
      <c r="B459" s="326" t="s">
        <v>1254</v>
      </c>
      <c r="C459" s="43" t="s">
        <v>546</v>
      </c>
      <c r="D459" s="554"/>
      <c r="E459" s="332"/>
      <c r="F459" s="471"/>
      <c r="G459" s="471"/>
      <c r="H459" s="332"/>
      <c r="I459" s="471"/>
      <c r="J459" s="331"/>
      <c r="K459" s="331"/>
      <c r="L459" s="331"/>
      <c r="M459" s="331"/>
      <c r="N459" s="331"/>
      <c r="O459" s="331"/>
      <c r="P459" s="331"/>
      <c r="Q459" s="331"/>
      <c r="R459" s="331"/>
      <c r="S459" s="331"/>
      <c r="T459" s="331"/>
      <c r="U459" s="331"/>
      <c r="V459" s="331"/>
      <c r="W459" s="331"/>
      <c r="X459" s="331"/>
      <c r="Y459" s="331"/>
      <c r="Z459" s="331"/>
      <c r="AA459" s="331"/>
      <c r="AB459" s="332"/>
      <c r="AC459" s="380">
        <f t="shared" si="271"/>
        <v>0</v>
      </c>
    </row>
    <row r="460" spans="1:36" s="10" customFormat="1" ht="51" customHeight="1">
      <c r="A460" s="397" t="s">
        <v>467</v>
      </c>
      <c r="B460" s="400" t="s">
        <v>183</v>
      </c>
      <c r="C460" s="43" t="s">
        <v>546</v>
      </c>
      <c r="D460" s="657"/>
      <c r="E460" s="657"/>
      <c r="F460" s="424"/>
      <c r="G460" s="424"/>
      <c r="H460" s="425"/>
      <c r="I460" s="328"/>
      <c r="J460" s="436">
        <f t="shared" ref="J460:AA460" si="300">+J461+J463</f>
        <v>5028</v>
      </c>
      <c r="K460" s="436">
        <f t="shared" si="300"/>
        <v>0</v>
      </c>
      <c r="L460" s="436">
        <f t="shared" si="300"/>
        <v>0</v>
      </c>
      <c r="M460" s="436">
        <f t="shared" si="300"/>
        <v>5028</v>
      </c>
      <c r="N460" s="436">
        <f t="shared" si="300"/>
        <v>3478</v>
      </c>
      <c r="O460" s="436">
        <f t="shared" si="300"/>
        <v>0</v>
      </c>
      <c r="P460" s="436">
        <f t="shared" si="300"/>
        <v>0</v>
      </c>
      <c r="Q460" s="436">
        <f t="shared" si="300"/>
        <v>3478</v>
      </c>
      <c r="R460" s="436">
        <f t="shared" si="300"/>
        <v>3478</v>
      </c>
      <c r="S460" s="436">
        <f t="shared" si="300"/>
        <v>0</v>
      </c>
      <c r="T460" s="436">
        <f t="shared" si="300"/>
        <v>0</v>
      </c>
      <c r="U460" s="436">
        <f t="shared" si="300"/>
        <v>3478</v>
      </c>
      <c r="V460" s="436">
        <f t="shared" si="300"/>
        <v>692</v>
      </c>
      <c r="W460" s="436">
        <f t="shared" si="300"/>
        <v>692</v>
      </c>
      <c r="X460" s="436">
        <f t="shared" si="300"/>
        <v>692</v>
      </c>
      <c r="Y460" s="436">
        <f t="shared" si="300"/>
        <v>0</v>
      </c>
      <c r="Z460" s="436">
        <f t="shared" si="300"/>
        <v>0</v>
      </c>
      <c r="AA460" s="436">
        <f t="shared" si="300"/>
        <v>0</v>
      </c>
      <c r="AB460" s="437"/>
      <c r="AC460" s="380">
        <f t="shared" si="271"/>
        <v>0</v>
      </c>
    </row>
    <row r="461" spans="1:36" s="8" customFormat="1" ht="49.5" customHeight="1">
      <c r="A461" s="430" t="s">
        <v>144</v>
      </c>
      <c r="B461" s="43" t="s">
        <v>504</v>
      </c>
      <c r="C461" s="43" t="s">
        <v>546</v>
      </c>
      <c r="D461" s="537"/>
      <c r="E461" s="456"/>
      <c r="F461" s="18"/>
      <c r="G461" s="11"/>
      <c r="H461" s="309"/>
      <c r="I461" s="406"/>
      <c r="J461" s="457">
        <f t="shared" ref="J461:AA461" si="301">+J462</f>
        <v>1994</v>
      </c>
      <c r="K461" s="457">
        <f t="shared" si="301"/>
        <v>0</v>
      </c>
      <c r="L461" s="457">
        <f t="shared" si="301"/>
        <v>0</v>
      </c>
      <c r="M461" s="457">
        <f t="shared" si="301"/>
        <v>1994</v>
      </c>
      <c r="N461" s="457">
        <f t="shared" si="301"/>
        <v>1322</v>
      </c>
      <c r="O461" s="457">
        <f t="shared" si="301"/>
        <v>0</v>
      </c>
      <c r="P461" s="457">
        <f t="shared" si="301"/>
        <v>0</v>
      </c>
      <c r="Q461" s="457">
        <f t="shared" si="301"/>
        <v>1322</v>
      </c>
      <c r="R461" s="457">
        <f t="shared" si="301"/>
        <v>1322</v>
      </c>
      <c r="S461" s="457">
        <f t="shared" si="301"/>
        <v>0</v>
      </c>
      <c r="T461" s="457">
        <f t="shared" si="301"/>
        <v>0</v>
      </c>
      <c r="U461" s="457">
        <f t="shared" si="301"/>
        <v>1322</v>
      </c>
      <c r="V461" s="457">
        <f t="shared" si="301"/>
        <v>276</v>
      </c>
      <c r="W461" s="457">
        <f t="shared" si="301"/>
        <v>276</v>
      </c>
      <c r="X461" s="457">
        <f t="shared" si="301"/>
        <v>276</v>
      </c>
      <c r="Y461" s="457">
        <f t="shared" si="301"/>
        <v>0</v>
      </c>
      <c r="Z461" s="457">
        <f t="shared" si="301"/>
        <v>0</v>
      </c>
      <c r="AA461" s="457">
        <f t="shared" si="301"/>
        <v>0</v>
      </c>
      <c r="AB461" s="108" t="s">
        <v>1639</v>
      </c>
      <c r="AC461" s="380">
        <f t="shared" si="271"/>
        <v>0</v>
      </c>
      <c r="AJ461" s="8" t="s">
        <v>685</v>
      </c>
    </row>
    <row r="462" spans="1:36" s="8" customFormat="1" ht="75" customHeight="1">
      <c r="A462" s="103" t="s">
        <v>502</v>
      </c>
      <c r="B462" s="43" t="s">
        <v>547</v>
      </c>
      <c r="C462" s="43" t="s">
        <v>546</v>
      </c>
      <c r="D462" s="27">
        <v>8088554</v>
      </c>
      <c r="E462" s="626"/>
      <c r="F462" s="13" t="s">
        <v>548</v>
      </c>
      <c r="G462" s="21" t="s">
        <v>197</v>
      </c>
      <c r="H462" s="13" t="s">
        <v>240</v>
      </c>
      <c r="I462" s="13" t="s">
        <v>549</v>
      </c>
      <c r="J462" s="43">
        <v>1994</v>
      </c>
      <c r="K462" s="12"/>
      <c r="L462" s="12"/>
      <c r="M462" s="43">
        <v>1994</v>
      </c>
      <c r="N462" s="43">
        <v>1322</v>
      </c>
      <c r="O462" s="12"/>
      <c r="P462" s="12"/>
      <c r="Q462" s="43">
        <v>1322</v>
      </c>
      <c r="R462" s="43">
        <v>1322</v>
      </c>
      <c r="S462" s="12"/>
      <c r="T462" s="12"/>
      <c r="U462" s="43">
        <v>1322</v>
      </c>
      <c r="V462" s="43">
        <v>276</v>
      </c>
      <c r="W462" s="43">
        <f>SUM(X462:AA462)</f>
        <v>276</v>
      </c>
      <c r="X462" s="43">
        <v>276</v>
      </c>
      <c r="Y462" s="43"/>
      <c r="Z462" s="43"/>
      <c r="AA462" s="43"/>
      <c r="AB462" s="108"/>
      <c r="AC462" s="380">
        <f t="shared" si="271"/>
        <v>0</v>
      </c>
    </row>
    <row r="463" spans="1:36" s="8" customFormat="1" ht="49.5" customHeight="1">
      <c r="A463" s="430" t="s">
        <v>144</v>
      </c>
      <c r="B463" s="43" t="s">
        <v>557</v>
      </c>
      <c r="C463" s="43" t="s">
        <v>546</v>
      </c>
      <c r="D463" s="537"/>
      <c r="E463" s="456"/>
      <c r="F463" s="18"/>
      <c r="G463" s="11"/>
      <c r="H463" s="309"/>
      <c r="I463" s="406"/>
      <c r="J463" s="457">
        <f t="shared" ref="J463:AA463" si="302">+J464</f>
        <v>3034</v>
      </c>
      <c r="K463" s="457">
        <f t="shared" si="302"/>
        <v>0</v>
      </c>
      <c r="L463" s="457">
        <f t="shared" si="302"/>
        <v>0</v>
      </c>
      <c r="M463" s="457">
        <f t="shared" si="302"/>
        <v>3034</v>
      </c>
      <c r="N463" s="457">
        <f t="shared" si="302"/>
        <v>2156</v>
      </c>
      <c r="O463" s="457">
        <f t="shared" si="302"/>
        <v>0</v>
      </c>
      <c r="P463" s="457">
        <f t="shared" si="302"/>
        <v>0</v>
      </c>
      <c r="Q463" s="457">
        <f t="shared" si="302"/>
        <v>2156</v>
      </c>
      <c r="R463" s="457">
        <f t="shared" si="302"/>
        <v>2156</v>
      </c>
      <c r="S463" s="457">
        <f t="shared" si="302"/>
        <v>0</v>
      </c>
      <c r="T463" s="457">
        <f t="shared" si="302"/>
        <v>0</v>
      </c>
      <c r="U463" s="457">
        <f t="shared" si="302"/>
        <v>2156</v>
      </c>
      <c r="V463" s="457">
        <f t="shared" si="302"/>
        <v>416</v>
      </c>
      <c r="W463" s="457">
        <f t="shared" si="302"/>
        <v>416</v>
      </c>
      <c r="X463" s="457">
        <f t="shared" si="302"/>
        <v>416</v>
      </c>
      <c r="Y463" s="457">
        <f t="shared" si="302"/>
        <v>0</v>
      </c>
      <c r="Z463" s="457">
        <f t="shared" si="302"/>
        <v>0</v>
      </c>
      <c r="AA463" s="457">
        <f t="shared" si="302"/>
        <v>0</v>
      </c>
      <c r="AB463" s="108" t="s">
        <v>1639</v>
      </c>
      <c r="AC463" s="380">
        <f t="shared" si="271"/>
        <v>0</v>
      </c>
      <c r="AJ463" s="8" t="s">
        <v>685</v>
      </c>
    </row>
    <row r="464" spans="1:36" s="7" customFormat="1" ht="68.25" customHeight="1">
      <c r="A464" s="100" t="s">
        <v>502</v>
      </c>
      <c r="B464" s="42" t="s">
        <v>570</v>
      </c>
      <c r="C464" s="43" t="s">
        <v>546</v>
      </c>
      <c r="D464" s="313">
        <v>8062988</v>
      </c>
      <c r="E464" s="626"/>
      <c r="F464" s="13" t="s">
        <v>571</v>
      </c>
      <c r="G464" s="313" t="s">
        <v>197</v>
      </c>
      <c r="H464" s="313" t="s">
        <v>49</v>
      </c>
      <c r="I464" s="13" t="s">
        <v>572</v>
      </c>
      <c r="J464" s="19">
        <v>3034</v>
      </c>
      <c r="K464" s="12"/>
      <c r="L464" s="12"/>
      <c r="M464" s="12">
        <v>3034</v>
      </c>
      <c r="N464" s="19">
        <v>2156</v>
      </c>
      <c r="O464" s="12"/>
      <c r="P464" s="12"/>
      <c r="Q464" s="19">
        <v>2156</v>
      </c>
      <c r="R464" s="19">
        <v>2156</v>
      </c>
      <c r="S464" s="12"/>
      <c r="T464" s="12"/>
      <c r="U464" s="19">
        <v>2156</v>
      </c>
      <c r="V464" s="19">
        <v>416</v>
      </c>
      <c r="W464" s="19">
        <f>SUM(X464:AA464)</f>
        <v>416</v>
      </c>
      <c r="X464" s="19">
        <v>416</v>
      </c>
      <c r="Y464" s="19"/>
      <c r="Z464" s="19"/>
      <c r="AA464" s="19"/>
      <c r="AB464" s="108"/>
      <c r="AC464" s="380">
        <f t="shared" si="271"/>
        <v>0</v>
      </c>
    </row>
    <row r="465" spans="1:36" s="417" customFormat="1" ht="28.5" customHeight="1">
      <c r="A465" s="327" t="s">
        <v>1306</v>
      </c>
      <c r="B465" s="413" t="s">
        <v>1307</v>
      </c>
      <c r="C465" s="43" t="s">
        <v>546</v>
      </c>
      <c r="D465" s="494"/>
      <c r="E465" s="494"/>
      <c r="F465" s="494"/>
      <c r="G465" s="494"/>
      <c r="H465" s="494"/>
      <c r="I465" s="327"/>
      <c r="J465" s="331"/>
      <c r="K465" s="331"/>
      <c r="L465" s="331"/>
      <c r="M465" s="331"/>
      <c r="N465" s="331"/>
      <c r="O465" s="331"/>
      <c r="P465" s="331"/>
      <c r="Q465" s="331"/>
      <c r="R465" s="331"/>
      <c r="S465" s="331"/>
      <c r="T465" s="331"/>
      <c r="U465" s="331"/>
      <c r="V465" s="331"/>
      <c r="W465" s="331"/>
      <c r="X465" s="331"/>
      <c r="Y465" s="331"/>
      <c r="Z465" s="331"/>
      <c r="AA465" s="331"/>
      <c r="AB465" s="332"/>
      <c r="AC465" s="380">
        <f t="shared" si="271"/>
        <v>0</v>
      </c>
    </row>
    <row r="466" spans="1:36" s="231" customFormat="1" ht="32.25" customHeight="1">
      <c r="A466" s="426" t="s">
        <v>1345</v>
      </c>
      <c r="B466" s="655" t="s">
        <v>550</v>
      </c>
      <c r="C466" s="655" t="s">
        <v>550</v>
      </c>
      <c r="D466" s="656"/>
      <c r="E466" s="462"/>
      <c r="F466" s="463"/>
      <c r="G466" s="318"/>
      <c r="H466" s="311"/>
      <c r="I466" s="610"/>
      <c r="J466" s="465">
        <f t="shared" ref="J466:V466" si="303">+J467</f>
        <v>1042</v>
      </c>
      <c r="K466" s="465">
        <f t="shared" si="303"/>
        <v>0</v>
      </c>
      <c r="L466" s="465">
        <f t="shared" si="303"/>
        <v>0</v>
      </c>
      <c r="M466" s="465">
        <f t="shared" si="303"/>
        <v>1042</v>
      </c>
      <c r="N466" s="465">
        <f t="shared" si="303"/>
        <v>274</v>
      </c>
      <c r="O466" s="465">
        <f t="shared" si="303"/>
        <v>0</v>
      </c>
      <c r="P466" s="465">
        <f t="shared" si="303"/>
        <v>0</v>
      </c>
      <c r="Q466" s="465">
        <f t="shared" si="303"/>
        <v>274</v>
      </c>
      <c r="R466" s="465">
        <f t="shared" si="303"/>
        <v>575</v>
      </c>
      <c r="S466" s="465">
        <f t="shared" si="303"/>
        <v>0</v>
      </c>
      <c r="T466" s="465">
        <f t="shared" si="303"/>
        <v>0</v>
      </c>
      <c r="U466" s="465">
        <f t="shared" si="303"/>
        <v>575</v>
      </c>
      <c r="V466" s="465">
        <f t="shared" si="303"/>
        <v>429</v>
      </c>
      <c r="W466" s="465">
        <f>W467</f>
        <v>190</v>
      </c>
      <c r="X466" s="465">
        <f t="shared" ref="X466:AA466" si="304">X467</f>
        <v>190</v>
      </c>
      <c r="Y466" s="465">
        <f t="shared" si="304"/>
        <v>0</v>
      </c>
      <c r="Z466" s="465">
        <f t="shared" si="304"/>
        <v>0</v>
      </c>
      <c r="AA466" s="465">
        <f t="shared" si="304"/>
        <v>0</v>
      </c>
      <c r="AB466" s="466"/>
      <c r="AC466" s="380">
        <f t="shared" si="271"/>
        <v>0</v>
      </c>
    </row>
    <row r="467" spans="1:36" s="10" customFormat="1" ht="27.75" customHeight="1">
      <c r="A467" s="393" t="s">
        <v>1346</v>
      </c>
      <c r="B467" s="394" t="s">
        <v>38</v>
      </c>
      <c r="C467" s="43" t="s">
        <v>550</v>
      </c>
      <c r="D467" s="394"/>
      <c r="E467" s="394"/>
      <c r="F467" s="419"/>
      <c r="G467" s="419"/>
      <c r="H467" s="420"/>
      <c r="I467" s="421"/>
      <c r="J467" s="453">
        <f t="shared" ref="J467:AA467" si="305">J469+J468+J474</f>
        <v>1042</v>
      </c>
      <c r="K467" s="453">
        <f t="shared" si="305"/>
        <v>0</v>
      </c>
      <c r="L467" s="453">
        <f t="shared" si="305"/>
        <v>0</v>
      </c>
      <c r="M467" s="453">
        <f t="shared" si="305"/>
        <v>1042</v>
      </c>
      <c r="N467" s="453">
        <f t="shared" si="305"/>
        <v>274</v>
      </c>
      <c r="O467" s="453">
        <f t="shared" si="305"/>
        <v>0</v>
      </c>
      <c r="P467" s="453">
        <f t="shared" si="305"/>
        <v>0</v>
      </c>
      <c r="Q467" s="453">
        <f t="shared" si="305"/>
        <v>274</v>
      </c>
      <c r="R467" s="453">
        <f t="shared" si="305"/>
        <v>575</v>
      </c>
      <c r="S467" s="453">
        <f t="shared" si="305"/>
        <v>0</v>
      </c>
      <c r="T467" s="453">
        <f t="shared" si="305"/>
        <v>0</v>
      </c>
      <c r="U467" s="453">
        <f t="shared" si="305"/>
        <v>575</v>
      </c>
      <c r="V467" s="453">
        <f t="shared" si="305"/>
        <v>429</v>
      </c>
      <c r="W467" s="453">
        <f t="shared" si="305"/>
        <v>190</v>
      </c>
      <c r="X467" s="453">
        <f t="shared" si="305"/>
        <v>190</v>
      </c>
      <c r="Y467" s="453">
        <f t="shared" si="305"/>
        <v>0</v>
      </c>
      <c r="Z467" s="453">
        <f t="shared" si="305"/>
        <v>0</v>
      </c>
      <c r="AA467" s="453">
        <f t="shared" si="305"/>
        <v>0</v>
      </c>
      <c r="AB467" s="454"/>
      <c r="AC467" s="380">
        <f t="shared" si="271"/>
        <v>0</v>
      </c>
    </row>
    <row r="468" spans="1:36" s="10" customFormat="1" ht="39.75" customHeight="1">
      <c r="A468" s="332" t="s">
        <v>39</v>
      </c>
      <c r="B468" s="326" t="s">
        <v>1254</v>
      </c>
      <c r="C468" s="43" t="s">
        <v>550</v>
      </c>
      <c r="D468" s="554"/>
      <c r="E468" s="332"/>
      <c r="F468" s="471"/>
      <c r="G468" s="471"/>
      <c r="H468" s="332"/>
      <c r="I468" s="471"/>
      <c r="J468" s="331"/>
      <c r="K468" s="331"/>
      <c r="L468" s="331"/>
      <c r="M468" s="331"/>
      <c r="N468" s="331"/>
      <c r="O468" s="331"/>
      <c r="P468" s="331"/>
      <c r="Q468" s="331"/>
      <c r="R468" s="331"/>
      <c r="S468" s="331"/>
      <c r="T468" s="331"/>
      <c r="U468" s="331"/>
      <c r="V468" s="331"/>
      <c r="W468" s="331"/>
      <c r="X468" s="331"/>
      <c r="Y468" s="331"/>
      <c r="Z468" s="331"/>
      <c r="AA468" s="331"/>
      <c r="AB468" s="332"/>
      <c r="AC468" s="380">
        <f t="shared" si="271"/>
        <v>0</v>
      </c>
    </row>
    <row r="469" spans="1:36" s="10" customFormat="1" ht="52.5" customHeight="1">
      <c r="A469" s="397" t="s">
        <v>467</v>
      </c>
      <c r="B469" s="400" t="s">
        <v>183</v>
      </c>
      <c r="C469" s="43" t="s">
        <v>550</v>
      </c>
      <c r="D469" s="657"/>
      <c r="E469" s="657"/>
      <c r="F469" s="424"/>
      <c r="G469" s="424"/>
      <c r="H469" s="425"/>
      <c r="I469" s="328"/>
      <c r="J469" s="436">
        <f t="shared" ref="J469:AA469" si="306">+J470+J472</f>
        <v>1042</v>
      </c>
      <c r="K469" s="436">
        <f t="shared" si="306"/>
        <v>0</v>
      </c>
      <c r="L469" s="436">
        <f t="shared" si="306"/>
        <v>0</v>
      </c>
      <c r="M469" s="436">
        <f t="shared" si="306"/>
        <v>1042</v>
      </c>
      <c r="N469" s="436">
        <f t="shared" si="306"/>
        <v>274</v>
      </c>
      <c r="O469" s="436">
        <f t="shared" si="306"/>
        <v>0</v>
      </c>
      <c r="P469" s="436">
        <f t="shared" si="306"/>
        <v>0</v>
      </c>
      <c r="Q469" s="436">
        <f t="shared" si="306"/>
        <v>274</v>
      </c>
      <c r="R469" s="436">
        <f t="shared" si="306"/>
        <v>575</v>
      </c>
      <c r="S469" s="436">
        <f t="shared" si="306"/>
        <v>0</v>
      </c>
      <c r="T469" s="436">
        <f t="shared" si="306"/>
        <v>0</v>
      </c>
      <c r="U469" s="436">
        <f t="shared" si="306"/>
        <v>575</v>
      </c>
      <c r="V469" s="436">
        <f t="shared" si="306"/>
        <v>429</v>
      </c>
      <c r="W469" s="436">
        <f t="shared" si="306"/>
        <v>190</v>
      </c>
      <c r="X469" s="436">
        <f t="shared" si="306"/>
        <v>190</v>
      </c>
      <c r="Y469" s="436">
        <f t="shared" si="306"/>
        <v>0</v>
      </c>
      <c r="Z469" s="436">
        <f t="shared" si="306"/>
        <v>0</v>
      </c>
      <c r="AA469" s="436">
        <f t="shared" si="306"/>
        <v>0</v>
      </c>
      <c r="AB469" s="437"/>
      <c r="AC469" s="380">
        <f t="shared" si="271"/>
        <v>0</v>
      </c>
    </row>
    <row r="470" spans="1:36" s="8" customFormat="1" ht="38.25" customHeight="1">
      <c r="A470" s="430" t="s">
        <v>144</v>
      </c>
      <c r="B470" s="43" t="s">
        <v>504</v>
      </c>
      <c r="C470" s="43" t="s">
        <v>550</v>
      </c>
      <c r="D470" s="537"/>
      <c r="E470" s="456"/>
      <c r="F470" s="18"/>
      <c r="G470" s="11"/>
      <c r="H470" s="309"/>
      <c r="I470" s="406"/>
      <c r="J470" s="457">
        <f t="shared" ref="J470:AA470" si="307">+J471</f>
        <v>738</v>
      </c>
      <c r="K470" s="457">
        <f t="shared" si="307"/>
        <v>0</v>
      </c>
      <c r="L470" s="457">
        <f t="shared" si="307"/>
        <v>0</v>
      </c>
      <c r="M470" s="457">
        <f t="shared" si="307"/>
        <v>738</v>
      </c>
      <c r="N470" s="457">
        <f t="shared" si="307"/>
        <v>0</v>
      </c>
      <c r="O470" s="457">
        <f t="shared" si="307"/>
        <v>0</v>
      </c>
      <c r="P470" s="457">
        <f t="shared" si="307"/>
        <v>0</v>
      </c>
      <c r="Q470" s="457">
        <f t="shared" si="307"/>
        <v>0</v>
      </c>
      <c r="R470" s="457">
        <f t="shared" si="307"/>
        <v>349</v>
      </c>
      <c r="S470" s="457">
        <f t="shared" si="307"/>
        <v>0</v>
      </c>
      <c r="T470" s="457">
        <f t="shared" si="307"/>
        <v>0</v>
      </c>
      <c r="U470" s="457">
        <f t="shared" si="307"/>
        <v>349</v>
      </c>
      <c r="V470" s="457">
        <f t="shared" si="307"/>
        <v>389</v>
      </c>
      <c r="W470" s="457">
        <f t="shared" si="307"/>
        <v>150</v>
      </c>
      <c r="X470" s="457">
        <f t="shared" si="307"/>
        <v>150</v>
      </c>
      <c r="Y470" s="457">
        <f t="shared" si="307"/>
        <v>0</v>
      </c>
      <c r="Z470" s="457">
        <f t="shared" si="307"/>
        <v>0</v>
      </c>
      <c r="AA470" s="457">
        <f t="shared" si="307"/>
        <v>0</v>
      </c>
      <c r="AB470" s="108" t="s">
        <v>1639</v>
      </c>
      <c r="AC470" s="380">
        <f t="shared" si="271"/>
        <v>0</v>
      </c>
      <c r="AJ470" s="8" t="s">
        <v>685</v>
      </c>
    </row>
    <row r="471" spans="1:36" s="8" customFormat="1" ht="48.75" customHeight="1">
      <c r="A471" s="100" t="s">
        <v>502</v>
      </c>
      <c r="B471" s="27" t="s">
        <v>551</v>
      </c>
      <c r="C471" s="43" t="s">
        <v>550</v>
      </c>
      <c r="D471" s="13">
        <v>8161399</v>
      </c>
      <c r="E471" s="626"/>
      <c r="F471" s="13" t="s">
        <v>677</v>
      </c>
      <c r="G471" s="13" t="s">
        <v>186</v>
      </c>
      <c r="H471" s="13" t="s">
        <v>299</v>
      </c>
      <c r="I471" s="13" t="s">
        <v>553</v>
      </c>
      <c r="J471" s="399">
        <v>738</v>
      </c>
      <c r="K471" s="12"/>
      <c r="L471" s="12"/>
      <c r="M471" s="399">
        <v>738</v>
      </c>
      <c r="N471" s="399"/>
      <c r="O471" s="12"/>
      <c r="P471" s="12"/>
      <c r="Q471" s="399"/>
      <c r="R471" s="17">
        <v>349</v>
      </c>
      <c r="S471" s="12"/>
      <c r="T471" s="12"/>
      <c r="U471" s="17">
        <v>349</v>
      </c>
      <c r="V471" s="19">
        <v>389</v>
      </c>
      <c r="W471" s="19">
        <f>SUM(X471:AA471)</f>
        <v>150</v>
      </c>
      <c r="X471" s="19">
        <v>150</v>
      </c>
      <c r="Y471" s="19"/>
      <c r="Z471" s="19"/>
      <c r="AA471" s="19"/>
      <c r="AB471" s="108"/>
      <c r="AC471" s="380">
        <f t="shared" si="271"/>
        <v>0</v>
      </c>
    </row>
    <row r="472" spans="1:36" s="8" customFormat="1" ht="48.75" customHeight="1">
      <c r="A472" s="100" t="s">
        <v>144</v>
      </c>
      <c r="B472" s="43" t="s">
        <v>557</v>
      </c>
      <c r="C472" s="43" t="s">
        <v>550</v>
      </c>
      <c r="D472" s="13"/>
      <c r="E472" s="626"/>
      <c r="F472" s="13"/>
      <c r="G472" s="13"/>
      <c r="H472" s="13"/>
      <c r="I472" s="13"/>
      <c r="J472" s="399">
        <f t="shared" ref="J472:AA472" si="308">+J473</f>
        <v>304</v>
      </c>
      <c r="K472" s="399">
        <f t="shared" si="308"/>
        <v>0</v>
      </c>
      <c r="L472" s="399">
        <f t="shared" si="308"/>
        <v>0</v>
      </c>
      <c r="M472" s="399">
        <f t="shared" si="308"/>
        <v>304</v>
      </c>
      <c r="N472" s="399">
        <f t="shared" si="308"/>
        <v>274</v>
      </c>
      <c r="O472" s="399">
        <f t="shared" si="308"/>
        <v>0</v>
      </c>
      <c r="P472" s="399">
        <f t="shared" si="308"/>
        <v>0</v>
      </c>
      <c r="Q472" s="399">
        <f t="shared" si="308"/>
        <v>274</v>
      </c>
      <c r="R472" s="399">
        <f t="shared" si="308"/>
        <v>226</v>
      </c>
      <c r="S472" s="399">
        <f t="shared" si="308"/>
        <v>0</v>
      </c>
      <c r="T472" s="399">
        <f t="shared" si="308"/>
        <v>0</v>
      </c>
      <c r="U472" s="399">
        <f t="shared" si="308"/>
        <v>226</v>
      </c>
      <c r="V472" s="399">
        <f t="shared" si="308"/>
        <v>40</v>
      </c>
      <c r="W472" s="399">
        <f t="shared" si="308"/>
        <v>40</v>
      </c>
      <c r="X472" s="399">
        <f t="shared" si="308"/>
        <v>40</v>
      </c>
      <c r="Y472" s="399">
        <f t="shared" si="308"/>
        <v>0</v>
      </c>
      <c r="Z472" s="399">
        <f t="shared" si="308"/>
        <v>0</v>
      </c>
      <c r="AA472" s="399">
        <f t="shared" si="308"/>
        <v>0</v>
      </c>
      <c r="AB472" s="108" t="s">
        <v>1639</v>
      </c>
      <c r="AC472" s="380">
        <f t="shared" ref="AC472:AC535" si="309">+W472-X472-Y472-Z472</f>
        <v>0</v>
      </c>
      <c r="AJ472" s="8" t="s">
        <v>685</v>
      </c>
    </row>
    <row r="473" spans="1:36" s="8" customFormat="1" ht="60" customHeight="1">
      <c r="A473" s="100" t="s">
        <v>502</v>
      </c>
      <c r="B473" s="27" t="s">
        <v>576</v>
      </c>
      <c r="C473" s="43" t="s">
        <v>550</v>
      </c>
      <c r="D473" s="13">
        <v>8055762</v>
      </c>
      <c r="E473" s="15"/>
      <c r="F473" s="13" t="s">
        <v>677</v>
      </c>
      <c r="G473" s="13" t="s">
        <v>186</v>
      </c>
      <c r="H473" s="13" t="s">
        <v>577</v>
      </c>
      <c r="I473" s="13" t="s">
        <v>568</v>
      </c>
      <c r="J473" s="399">
        <v>304</v>
      </c>
      <c r="K473" s="407"/>
      <c r="L473" s="407"/>
      <c r="M473" s="407">
        <v>304</v>
      </c>
      <c r="N473" s="17">
        <v>274</v>
      </c>
      <c r="O473" s="407"/>
      <c r="P473" s="407"/>
      <c r="Q473" s="17">
        <v>274</v>
      </c>
      <c r="R473" s="399">
        <v>226</v>
      </c>
      <c r="S473" s="407"/>
      <c r="T473" s="407"/>
      <c r="U473" s="399">
        <v>226</v>
      </c>
      <c r="V473" s="399">
        <v>40</v>
      </c>
      <c r="W473" s="19">
        <f>SUM(X473:AA473)</f>
        <v>40</v>
      </c>
      <c r="X473" s="19">
        <v>40</v>
      </c>
      <c r="Y473" s="19"/>
      <c r="Z473" s="19"/>
      <c r="AA473" s="19"/>
      <c r="AB473" s="108"/>
      <c r="AC473" s="380">
        <f t="shared" si="309"/>
        <v>0</v>
      </c>
    </row>
    <row r="474" spans="1:36" s="417" customFormat="1" ht="28.5" customHeight="1">
      <c r="A474" s="327" t="s">
        <v>1306</v>
      </c>
      <c r="B474" s="413" t="s">
        <v>1307</v>
      </c>
      <c r="C474" s="43" t="s">
        <v>550</v>
      </c>
      <c r="D474" s="494"/>
      <c r="E474" s="494"/>
      <c r="F474" s="494"/>
      <c r="G474" s="494"/>
      <c r="H474" s="494"/>
      <c r="I474" s="327"/>
      <c r="J474" s="331"/>
      <c r="K474" s="331"/>
      <c r="L474" s="331"/>
      <c r="M474" s="331"/>
      <c r="N474" s="331"/>
      <c r="O474" s="331"/>
      <c r="P474" s="331"/>
      <c r="Q474" s="331"/>
      <c r="R474" s="331"/>
      <c r="S474" s="331"/>
      <c r="T474" s="331"/>
      <c r="U474" s="331"/>
      <c r="V474" s="331"/>
      <c r="W474" s="331"/>
      <c r="X474" s="331"/>
      <c r="Y474" s="331"/>
      <c r="Z474" s="331"/>
      <c r="AA474" s="331"/>
      <c r="AB474" s="332"/>
      <c r="AC474" s="380">
        <f t="shared" si="309"/>
        <v>0</v>
      </c>
    </row>
    <row r="475" spans="1:36" s="231" customFormat="1" ht="32.25" customHeight="1">
      <c r="A475" s="426" t="s">
        <v>1347</v>
      </c>
      <c r="B475" s="655" t="s">
        <v>558</v>
      </c>
      <c r="C475" s="655" t="s">
        <v>558</v>
      </c>
      <c r="D475" s="656"/>
      <c r="E475" s="462"/>
      <c r="F475" s="463"/>
      <c r="G475" s="318"/>
      <c r="H475" s="311"/>
      <c r="I475" s="610"/>
      <c r="J475" s="465">
        <f t="shared" ref="J475:AA475" si="310">+J476</f>
        <v>1006</v>
      </c>
      <c r="K475" s="465">
        <f t="shared" si="310"/>
        <v>0</v>
      </c>
      <c r="L475" s="465">
        <f t="shared" si="310"/>
        <v>0</v>
      </c>
      <c r="M475" s="465">
        <f t="shared" si="310"/>
        <v>1006</v>
      </c>
      <c r="N475" s="465">
        <f t="shared" si="310"/>
        <v>711</v>
      </c>
      <c r="O475" s="465">
        <f t="shared" si="310"/>
        <v>0</v>
      </c>
      <c r="P475" s="465">
        <f t="shared" si="310"/>
        <v>0</v>
      </c>
      <c r="Q475" s="465">
        <f t="shared" si="310"/>
        <v>711</v>
      </c>
      <c r="R475" s="465">
        <f t="shared" si="310"/>
        <v>435</v>
      </c>
      <c r="S475" s="465">
        <f t="shared" si="310"/>
        <v>0</v>
      </c>
      <c r="T475" s="465">
        <f t="shared" si="310"/>
        <v>0</v>
      </c>
      <c r="U475" s="465">
        <f t="shared" si="310"/>
        <v>435</v>
      </c>
      <c r="V475" s="465">
        <f t="shared" si="310"/>
        <v>215</v>
      </c>
      <c r="W475" s="465">
        <f t="shared" si="310"/>
        <v>114</v>
      </c>
      <c r="X475" s="465">
        <f t="shared" si="310"/>
        <v>114</v>
      </c>
      <c r="Y475" s="465">
        <f t="shared" si="310"/>
        <v>0</v>
      </c>
      <c r="Z475" s="465">
        <f t="shared" si="310"/>
        <v>0</v>
      </c>
      <c r="AA475" s="465">
        <f t="shared" si="310"/>
        <v>0</v>
      </c>
      <c r="AB475" s="466"/>
      <c r="AC475" s="380">
        <f t="shared" si="309"/>
        <v>0</v>
      </c>
    </row>
    <row r="476" spans="1:36" s="10" customFormat="1" ht="27.75" customHeight="1">
      <c r="A476" s="393" t="s">
        <v>1348</v>
      </c>
      <c r="B476" s="394" t="s">
        <v>38</v>
      </c>
      <c r="C476" s="43" t="s">
        <v>558</v>
      </c>
      <c r="D476" s="394"/>
      <c r="E476" s="394"/>
      <c r="F476" s="419"/>
      <c r="G476" s="419"/>
      <c r="H476" s="420"/>
      <c r="I476" s="421"/>
      <c r="J476" s="453">
        <f t="shared" ref="J476:AA476" si="311">J478+J477+J481</f>
        <v>1006</v>
      </c>
      <c r="K476" s="453">
        <f t="shared" si="311"/>
        <v>0</v>
      </c>
      <c r="L476" s="453">
        <f t="shared" si="311"/>
        <v>0</v>
      </c>
      <c r="M476" s="453">
        <f t="shared" si="311"/>
        <v>1006</v>
      </c>
      <c r="N476" s="453">
        <f t="shared" si="311"/>
        <v>711</v>
      </c>
      <c r="O476" s="453">
        <f t="shared" si="311"/>
        <v>0</v>
      </c>
      <c r="P476" s="453">
        <f t="shared" si="311"/>
        <v>0</v>
      </c>
      <c r="Q476" s="453">
        <f t="shared" si="311"/>
        <v>711</v>
      </c>
      <c r="R476" s="453">
        <f t="shared" si="311"/>
        <v>435</v>
      </c>
      <c r="S476" s="453">
        <f t="shared" si="311"/>
        <v>0</v>
      </c>
      <c r="T476" s="453">
        <f t="shared" si="311"/>
        <v>0</v>
      </c>
      <c r="U476" s="453">
        <f t="shared" si="311"/>
        <v>435</v>
      </c>
      <c r="V476" s="453">
        <f t="shared" si="311"/>
        <v>215</v>
      </c>
      <c r="W476" s="453">
        <f t="shared" si="311"/>
        <v>114</v>
      </c>
      <c r="X476" s="453">
        <f t="shared" si="311"/>
        <v>114</v>
      </c>
      <c r="Y476" s="453">
        <f t="shared" si="311"/>
        <v>0</v>
      </c>
      <c r="Z476" s="453">
        <f t="shared" si="311"/>
        <v>0</v>
      </c>
      <c r="AA476" s="453">
        <f t="shared" si="311"/>
        <v>0</v>
      </c>
      <c r="AB476" s="454"/>
      <c r="AC476" s="380">
        <f t="shared" si="309"/>
        <v>0</v>
      </c>
    </row>
    <row r="477" spans="1:36" s="10" customFormat="1" ht="39.75" customHeight="1">
      <c r="A477" s="332" t="s">
        <v>39</v>
      </c>
      <c r="B477" s="326" t="s">
        <v>1254</v>
      </c>
      <c r="C477" s="43" t="s">
        <v>558</v>
      </c>
      <c r="D477" s="554"/>
      <c r="E477" s="332"/>
      <c r="F477" s="471"/>
      <c r="G477" s="471"/>
      <c r="H477" s="332"/>
      <c r="I477" s="471"/>
      <c r="J477" s="331"/>
      <c r="K477" s="331"/>
      <c r="L477" s="331"/>
      <c r="M477" s="331"/>
      <c r="N477" s="331"/>
      <c r="O477" s="331"/>
      <c r="P477" s="331"/>
      <c r="Q477" s="331"/>
      <c r="R477" s="331"/>
      <c r="S477" s="331"/>
      <c r="T477" s="331"/>
      <c r="U477" s="331"/>
      <c r="V477" s="331"/>
      <c r="W477" s="331"/>
      <c r="X477" s="331"/>
      <c r="Y477" s="331"/>
      <c r="Z477" s="331"/>
      <c r="AA477" s="331"/>
      <c r="AB477" s="332"/>
      <c r="AC477" s="380">
        <f t="shared" si="309"/>
        <v>0</v>
      </c>
    </row>
    <row r="478" spans="1:36" s="10" customFormat="1" ht="50.25" customHeight="1">
      <c r="A478" s="397" t="s">
        <v>467</v>
      </c>
      <c r="B478" s="400" t="s">
        <v>183</v>
      </c>
      <c r="C478" s="43" t="s">
        <v>558</v>
      </c>
      <c r="D478" s="657"/>
      <c r="E478" s="657"/>
      <c r="F478" s="424"/>
      <c r="G478" s="424"/>
      <c r="H478" s="425"/>
      <c r="I478" s="328"/>
      <c r="J478" s="436">
        <f t="shared" ref="J478:AA478" si="312">SUM(J479:J479)</f>
        <v>1006</v>
      </c>
      <c r="K478" s="436">
        <f t="shared" si="312"/>
        <v>0</v>
      </c>
      <c r="L478" s="436">
        <f t="shared" si="312"/>
        <v>0</v>
      </c>
      <c r="M478" s="436">
        <f t="shared" si="312"/>
        <v>1006</v>
      </c>
      <c r="N478" s="436">
        <f t="shared" si="312"/>
        <v>711</v>
      </c>
      <c r="O478" s="436">
        <f t="shared" si="312"/>
        <v>0</v>
      </c>
      <c r="P478" s="436">
        <f t="shared" si="312"/>
        <v>0</v>
      </c>
      <c r="Q478" s="436">
        <f t="shared" si="312"/>
        <v>711</v>
      </c>
      <c r="R478" s="436">
        <f t="shared" si="312"/>
        <v>435</v>
      </c>
      <c r="S478" s="436">
        <f t="shared" si="312"/>
        <v>0</v>
      </c>
      <c r="T478" s="436">
        <f t="shared" si="312"/>
        <v>0</v>
      </c>
      <c r="U478" s="436">
        <f t="shared" si="312"/>
        <v>435</v>
      </c>
      <c r="V478" s="436">
        <f t="shared" si="312"/>
        <v>215</v>
      </c>
      <c r="W478" s="436">
        <f t="shared" si="312"/>
        <v>114</v>
      </c>
      <c r="X478" s="436">
        <f t="shared" si="312"/>
        <v>114</v>
      </c>
      <c r="Y478" s="436">
        <f t="shared" si="312"/>
        <v>0</v>
      </c>
      <c r="Z478" s="436">
        <f t="shared" si="312"/>
        <v>0</v>
      </c>
      <c r="AA478" s="436">
        <f t="shared" si="312"/>
        <v>0</v>
      </c>
      <c r="AB478" s="437"/>
      <c r="AC478" s="380">
        <f t="shared" si="309"/>
        <v>0</v>
      </c>
    </row>
    <row r="479" spans="1:36" s="8" customFormat="1" ht="49.5" customHeight="1">
      <c r="A479" s="430" t="s">
        <v>144</v>
      </c>
      <c r="B479" s="43" t="s">
        <v>557</v>
      </c>
      <c r="C479" s="43" t="s">
        <v>558</v>
      </c>
      <c r="D479" s="537"/>
      <c r="E479" s="456"/>
      <c r="F479" s="18"/>
      <c r="G479" s="11"/>
      <c r="H479" s="309"/>
      <c r="I479" s="406"/>
      <c r="J479" s="457">
        <f t="shared" ref="J479:AA479" si="313">+J480</f>
        <v>1006</v>
      </c>
      <c r="K479" s="457">
        <f t="shared" si="313"/>
        <v>0</v>
      </c>
      <c r="L479" s="457">
        <f t="shared" si="313"/>
        <v>0</v>
      </c>
      <c r="M479" s="457">
        <f t="shared" si="313"/>
        <v>1006</v>
      </c>
      <c r="N479" s="457">
        <f t="shared" si="313"/>
        <v>711</v>
      </c>
      <c r="O479" s="457">
        <f t="shared" si="313"/>
        <v>0</v>
      </c>
      <c r="P479" s="457">
        <f t="shared" si="313"/>
        <v>0</v>
      </c>
      <c r="Q479" s="457">
        <f t="shared" si="313"/>
        <v>711</v>
      </c>
      <c r="R479" s="457">
        <f t="shared" si="313"/>
        <v>435</v>
      </c>
      <c r="S479" s="457">
        <f t="shared" si="313"/>
        <v>0</v>
      </c>
      <c r="T479" s="457">
        <f t="shared" si="313"/>
        <v>0</v>
      </c>
      <c r="U479" s="457">
        <f t="shared" si="313"/>
        <v>435</v>
      </c>
      <c r="V479" s="457">
        <f t="shared" si="313"/>
        <v>215</v>
      </c>
      <c r="W479" s="457">
        <f t="shared" si="313"/>
        <v>114</v>
      </c>
      <c r="X479" s="457">
        <f t="shared" si="313"/>
        <v>114</v>
      </c>
      <c r="Y479" s="457">
        <f t="shared" si="313"/>
        <v>0</v>
      </c>
      <c r="Z479" s="457">
        <f t="shared" si="313"/>
        <v>0</v>
      </c>
      <c r="AA479" s="457">
        <f t="shared" si="313"/>
        <v>0</v>
      </c>
      <c r="AB479" s="108" t="s">
        <v>1639</v>
      </c>
      <c r="AC479" s="380">
        <f t="shared" si="309"/>
        <v>0</v>
      </c>
      <c r="AJ479" s="8" t="s">
        <v>685</v>
      </c>
    </row>
    <row r="480" spans="1:36" s="8" customFormat="1" ht="60" customHeight="1">
      <c r="A480" s="103" t="s">
        <v>502</v>
      </c>
      <c r="B480" s="27" t="s">
        <v>554</v>
      </c>
      <c r="C480" s="43" t="s">
        <v>558</v>
      </c>
      <c r="D480" s="13">
        <v>7978078</v>
      </c>
      <c r="E480" s="626"/>
      <c r="F480" s="13" t="s">
        <v>559</v>
      </c>
      <c r="G480" s="13" t="s">
        <v>197</v>
      </c>
      <c r="H480" s="13" t="s">
        <v>560</v>
      </c>
      <c r="I480" s="13" t="s">
        <v>561</v>
      </c>
      <c r="J480" s="399">
        <v>1006</v>
      </c>
      <c r="K480" s="12"/>
      <c r="L480" s="12"/>
      <c r="M480" s="12">
        <v>1006</v>
      </c>
      <c r="N480" s="399">
        <v>711</v>
      </c>
      <c r="O480" s="12"/>
      <c r="P480" s="12"/>
      <c r="Q480" s="399">
        <v>711</v>
      </c>
      <c r="R480" s="399">
        <v>435</v>
      </c>
      <c r="S480" s="12"/>
      <c r="T480" s="12"/>
      <c r="U480" s="399">
        <v>435</v>
      </c>
      <c r="V480" s="19">
        <v>215</v>
      </c>
      <c r="W480" s="19">
        <f>SUM(X480:AA480)</f>
        <v>114</v>
      </c>
      <c r="X480" s="19">
        <v>114</v>
      </c>
      <c r="Y480" s="19"/>
      <c r="Z480" s="19"/>
      <c r="AA480" s="19"/>
      <c r="AB480" s="108"/>
      <c r="AC480" s="380">
        <f t="shared" si="309"/>
        <v>0</v>
      </c>
    </row>
    <row r="481" spans="1:36" s="417" customFormat="1" ht="28.5" customHeight="1">
      <c r="A481" s="327" t="s">
        <v>1306</v>
      </c>
      <c r="B481" s="413" t="s">
        <v>1307</v>
      </c>
      <c r="C481" s="43" t="s">
        <v>558</v>
      </c>
      <c r="D481" s="494"/>
      <c r="E481" s="494"/>
      <c r="F481" s="494"/>
      <c r="G481" s="494"/>
      <c r="H481" s="494"/>
      <c r="I481" s="327"/>
      <c r="J481" s="331"/>
      <c r="K481" s="331"/>
      <c r="L481" s="331"/>
      <c r="M481" s="331"/>
      <c r="N481" s="331"/>
      <c r="O481" s="331"/>
      <c r="P481" s="331"/>
      <c r="Q481" s="331"/>
      <c r="R481" s="331"/>
      <c r="S481" s="331"/>
      <c r="T481" s="331"/>
      <c r="U481" s="331"/>
      <c r="V481" s="331"/>
      <c r="W481" s="331"/>
      <c r="X481" s="331"/>
      <c r="Y481" s="331"/>
      <c r="Z481" s="331"/>
      <c r="AA481" s="331"/>
      <c r="AB481" s="332"/>
      <c r="AC481" s="380">
        <f t="shared" si="309"/>
        <v>0</v>
      </c>
    </row>
    <row r="482" spans="1:36" s="231" customFormat="1" ht="32.25" customHeight="1">
      <c r="A482" s="426" t="s">
        <v>1349</v>
      </c>
      <c r="B482" s="655" t="s">
        <v>562</v>
      </c>
      <c r="C482" s="655" t="s">
        <v>562</v>
      </c>
      <c r="D482" s="656"/>
      <c r="E482" s="462"/>
      <c r="F482" s="463"/>
      <c r="G482" s="318"/>
      <c r="H482" s="311"/>
      <c r="I482" s="610"/>
      <c r="J482" s="465">
        <f t="shared" ref="J482:AA482" si="314">+J483</f>
        <v>551</v>
      </c>
      <c r="K482" s="465">
        <f t="shared" si="314"/>
        <v>0</v>
      </c>
      <c r="L482" s="465">
        <f t="shared" si="314"/>
        <v>0</v>
      </c>
      <c r="M482" s="465">
        <f t="shared" si="314"/>
        <v>551</v>
      </c>
      <c r="N482" s="465">
        <f t="shared" si="314"/>
        <v>424</v>
      </c>
      <c r="O482" s="465">
        <f t="shared" si="314"/>
        <v>0</v>
      </c>
      <c r="P482" s="465">
        <f t="shared" si="314"/>
        <v>0</v>
      </c>
      <c r="Q482" s="465">
        <f t="shared" si="314"/>
        <v>424</v>
      </c>
      <c r="R482" s="465">
        <f t="shared" si="314"/>
        <v>424</v>
      </c>
      <c r="S482" s="465">
        <f t="shared" si="314"/>
        <v>0</v>
      </c>
      <c r="T482" s="465">
        <f t="shared" si="314"/>
        <v>0</v>
      </c>
      <c r="U482" s="465">
        <f t="shared" si="314"/>
        <v>424</v>
      </c>
      <c r="V482" s="465">
        <f t="shared" si="314"/>
        <v>101</v>
      </c>
      <c r="W482" s="465">
        <f t="shared" si="314"/>
        <v>42</v>
      </c>
      <c r="X482" s="465">
        <f t="shared" si="314"/>
        <v>42</v>
      </c>
      <c r="Y482" s="465">
        <f t="shared" si="314"/>
        <v>0</v>
      </c>
      <c r="Z482" s="465">
        <f t="shared" si="314"/>
        <v>0</v>
      </c>
      <c r="AA482" s="465">
        <f t="shared" si="314"/>
        <v>0</v>
      </c>
      <c r="AB482" s="466"/>
      <c r="AC482" s="380">
        <f t="shared" si="309"/>
        <v>0</v>
      </c>
    </row>
    <row r="483" spans="1:36" s="10" customFormat="1" ht="27.75" customHeight="1">
      <c r="A483" s="393" t="s">
        <v>1350</v>
      </c>
      <c r="B483" s="394" t="s">
        <v>38</v>
      </c>
      <c r="C483" s="43" t="s">
        <v>562</v>
      </c>
      <c r="D483" s="394"/>
      <c r="E483" s="394"/>
      <c r="F483" s="419"/>
      <c r="G483" s="419"/>
      <c r="H483" s="420"/>
      <c r="I483" s="421"/>
      <c r="J483" s="453">
        <f t="shared" ref="J483:AA483" si="315">J485+J484+J488</f>
        <v>551</v>
      </c>
      <c r="K483" s="453">
        <f t="shared" si="315"/>
        <v>0</v>
      </c>
      <c r="L483" s="453">
        <f t="shared" si="315"/>
        <v>0</v>
      </c>
      <c r="M483" s="453">
        <f t="shared" si="315"/>
        <v>551</v>
      </c>
      <c r="N483" s="453">
        <f t="shared" si="315"/>
        <v>424</v>
      </c>
      <c r="O483" s="453">
        <f t="shared" si="315"/>
        <v>0</v>
      </c>
      <c r="P483" s="453">
        <f t="shared" si="315"/>
        <v>0</v>
      </c>
      <c r="Q483" s="453">
        <f t="shared" si="315"/>
        <v>424</v>
      </c>
      <c r="R483" s="453">
        <f t="shared" si="315"/>
        <v>424</v>
      </c>
      <c r="S483" s="453">
        <f t="shared" si="315"/>
        <v>0</v>
      </c>
      <c r="T483" s="453">
        <f t="shared" si="315"/>
        <v>0</v>
      </c>
      <c r="U483" s="453">
        <f t="shared" si="315"/>
        <v>424</v>
      </c>
      <c r="V483" s="453">
        <f t="shared" si="315"/>
        <v>101</v>
      </c>
      <c r="W483" s="453">
        <f t="shared" si="315"/>
        <v>42</v>
      </c>
      <c r="X483" s="453">
        <f t="shared" si="315"/>
        <v>42</v>
      </c>
      <c r="Y483" s="453">
        <f t="shared" si="315"/>
        <v>0</v>
      </c>
      <c r="Z483" s="453">
        <f t="shared" si="315"/>
        <v>0</v>
      </c>
      <c r="AA483" s="453">
        <f t="shared" si="315"/>
        <v>0</v>
      </c>
      <c r="AB483" s="454"/>
      <c r="AC483" s="380">
        <f t="shared" si="309"/>
        <v>0</v>
      </c>
    </row>
    <row r="484" spans="1:36" s="10" customFormat="1" ht="39.75" customHeight="1">
      <c r="A484" s="332" t="s">
        <v>39</v>
      </c>
      <c r="B484" s="326" t="s">
        <v>1254</v>
      </c>
      <c r="C484" s="43" t="s">
        <v>562</v>
      </c>
      <c r="D484" s="554"/>
      <c r="E484" s="332"/>
      <c r="F484" s="471"/>
      <c r="G484" s="471"/>
      <c r="H484" s="332"/>
      <c r="I484" s="471"/>
      <c r="J484" s="331"/>
      <c r="K484" s="331"/>
      <c r="L484" s="331"/>
      <c r="M484" s="331"/>
      <c r="N484" s="331"/>
      <c r="O484" s="331"/>
      <c r="P484" s="331"/>
      <c r="Q484" s="331"/>
      <c r="R484" s="331"/>
      <c r="S484" s="331"/>
      <c r="T484" s="331"/>
      <c r="U484" s="331"/>
      <c r="V484" s="331"/>
      <c r="W484" s="331"/>
      <c r="X484" s="331"/>
      <c r="Y484" s="331"/>
      <c r="Z484" s="331"/>
      <c r="AA484" s="331"/>
      <c r="AB484" s="332"/>
      <c r="AC484" s="380">
        <f t="shared" si="309"/>
        <v>0</v>
      </c>
    </row>
    <row r="485" spans="1:36" s="10" customFormat="1" ht="47.25" customHeight="1">
      <c r="A485" s="397" t="s">
        <v>467</v>
      </c>
      <c r="B485" s="400" t="s">
        <v>183</v>
      </c>
      <c r="C485" s="43" t="s">
        <v>562</v>
      </c>
      <c r="D485" s="657"/>
      <c r="E485" s="657"/>
      <c r="F485" s="424"/>
      <c r="G485" s="424"/>
      <c r="H485" s="425"/>
      <c r="I485" s="328"/>
      <c r="J485" s="436">
        <f t="shared" ref="J485:AA485" si="316">SUM(J486:J486)</f>
        <v>551</v>
      </c>
      <c r="K485" s="436">
        <f t="shared" si="316"/>
        <v>0</v>
      </c>
      <c r="L485" s="436">
        <f t="shared" si="316"/>
        <v>0</v>
      </c>
      <c r="M485" s="436">
        <f t="shared" si="316"/>
        <v>551</v>
      </c>
      <c r="N485" s="436">
        <f t="shared" si="316"/>
        <v>424</v>
      </c>
      <c r="O485" s="436">
        <f t="shared" si="316"/>
        <v>0</v>
      </c>
      <c r="P485" s="436">
        <f t="shared" si="316"/>
        <v>0</v>
      </c>
      <c r="Q485" s="436">
        <f t="shared" si="316"/>
        <v>424</v>
      </c>
      <c r="R485" s="436">
        <f t="shared" si="316"/>
        <v>424</v>
      </c>
      <c r="S485" s="436">
        <f t="shared" si="316"/>
        <v>0</v>
      </c>
      <c r="T485" s="436">
        <f t="shared" si="316"/>
        <v>0</v>
      </c>
      <c r="U485" s="436">
        <f t="shared" si="316"/>
        <v>424</v>
      </c>
      <c r="V485" s="436">
        <f t="shared" si="316"/>
        <v>101</v>
      </c>
      <c r="W485" s="436">
        <f t="shared" si="316"/>
        <v>42</v>
      </c>
      <c r="X485" s="436">
        <f t="shared" si="316"/>
        <v>42</v>
      </c>
      <c r="Y485" s="436">
        <f t="shared" si="316"/>
        <v>0</v>
      </c>
      <c r="Z485" s="436">
        <f t="shared" si="316"/>
        <v>0</v>
      </c>
      <c r="AA485" s="436">
        <f t="shared" si="316"/>
        <v>0</v>
      </c>
      <c r="AB485" s="437"/>
      <c r="AC485" s="380">
        <f t="shared" si="309"/>
        <v>0</v>
      </c>
    </row>
    <row r="486" spans="1:36" s="8" customFormat="1" ht="49.5" customHeight="1">
      <c r="A486" s="430" t="s">
        <v>144</v>
      </c>
      <c r="B486" s="43" t="s">
        <v>557</v>
      </c>
      <c r="C486" s="43" t="s">
        <v>562</v>
      </c>
      <c r="D486" s="537"/>
      <c r="E486" s="456"/>
      <c r="F486" s="18"/>
      <c r="G486" s="11"/>
      <c r="H486" s="309"/>
      <c r="I486" s="406"/>
      <c r="J486" s="457">
        <f t="shared" ref="J486:AA486" si="317">+J487</f>
        <v>551</v>
      </c>
      <c r="K486" s="457">
        <f t="shared" si="317"/>
        <v>0</v>
      </c>
      <c r="L486" s="457">
        <f t="shared" si="317"/>
        <v>0</v>
      </c>
      <c r="M486" s="457">
        <f t="shared" si="317"/>
        <v>551</v>
      </c>
      <c r="N486" s="457">
        <f t="shared" si="317"/>
        <v>424</v>
      </c>
      <c r="O486" s="457">
        <f t="shared" si="317"/>
        <v>0</v>
      </c>
      <c r="P486" s="457">
        <f t="shared" si="317"/>
        <v>0</v>
      </c>
      <c r="Q486" s="457">
        <f t="shared" si="317"/>
        <v>424</v>
      </c>
      <c r="R486" s="457">
        <f t="shared" si="317"/>
        <v>424</v>
      </c>
      <c r="S486" s="457">
        <f t="shared" si="317"/>
        <v>0</v>
      </c>
      <c r="T486" s="457">
        <f t="shared" si="317"/>
        <v>0</v>
      </c>
      <c r="U486" s="457">
        <f t="shared" si="317"/>
        <v>424</v>
      </c>
      <c r="V486" s="457">
        <f t="shared" si="317"/>
        <v>101</v>
      </c>
      <c r="W486" s="457">
        <f t="shared" si="317"/>
        <v>42</v>
      </c>
      <c r="X486" s="457">
        <f t="shared" si="317"/>
        <v>42</v>
      </c>
      <c r="Y486" s="457">
        <f t="shared" si="317"/>
        <v>0</v>
      </c>
      <c r="Z486" s="457">
        <f t="shared" si="317"/>
        <v>0</v>
      </c>
      <c r="AA486" s="457">
        <f t="shared" si="317"/>
        <v>0</v>
      </c>
      <c r="AB486" s="108" t="s">
        <v>1639</v>
      </c>
      <c r="AC486" s="380">
        <f t="shared" si="309"/>
        <v>0</v>
      </c>
      <c r="AJ486" s="8" t="s">
        <v>685</v>
      </c>
    </row>
    <row r="487" spans="1:36" s="8" customFormat="1" ht="76.5" customHeight="1">
      <c r="A487" s="100" t="s">
        <v>502</v>
      </c>
      <c r="B487" s="27" t="s">
        <v>554</v>
      </c>
      <c r="C487" s="43" t="s">
        <v>562</v>
      </c>
      <c r="D487" s="13">
        <v>862997</v>
      </c>
      <c r="E487" s="626"/>
      <c r="F487" s="13" t="s">
        <v>563</v>
      </c>
      <c r="G487" s="13" t="s">
        <v>197</v>
      </c>
      <c r="H487" s="13" t="s">
        <v>560</v>
      </c>
      <c r="I487" s="13" t="s">
        <v>555</v>
      </c>
      <c r="J487" s="399">
        <v>551</v>
      </c>
      <c r="K487" s="12"/>
      <c r="L487" s="12"/>
      <c r="M487" s="12">
        <v>551</v>
      </c>
      <c r="N487" s="17">
        <v>424</v>
      </c>
      <c r="O487" s="12"/>
      <c r="P487" s="12"/>
      <c r="Q487" s="17">
        <v>424</v>
      </c>
      <c r="R487" s="17">
        <v>424</v>
      </c>
      <c r="S487" s="12"/>
      <c r="T487" s="12"/>
      <c r="U487" s="17">
        <v>424</v>
      </c>
      <c r="V487" s="19">
        <v>101</v>
      </c>
      <c r="W487" s="19">
        <f>SUM(X487:AA487)</f>
        <v>42</v>
      </c>
      <c r="X487" s="19">
        <v>42</v>
      </c>
      <c r="Y487" s="19"/>
      <c r="Z487" s="19"/>
      <c r="AA487" s="19"/>
      <c r="AB487" s="108"/>
      <c r="AC487" s="380">
        <f t="shared" si="309"/>
        <v>0</v>
      </c>
    </row>
    <row r="488" spans="1:36" s="417" customFormat="1" ht="28.5" customHeight="1">
      <c r="A488" s="327" t="s">
        <v>1306</v>
      </c>
      <c r="B488" s="413" t="s">
        <v>1307</v>
      </c>
      <c r="C488" s="43" t="s">
        <v>562</v>
      </c>
      <c r="D488" s="494"/>
      <c r="E488" s="494"/>
      <c r="F488" s="494"/>
      <c r="G488" s="494"/>
      <c r="H488" s="494"/>
      <c r="I488" s="327"/>
      <c r="J488" s="331"/>
      <c r="K488" s="331"/>
      <c r="L488" s="331"/>
      <c r="M488" s="331"/>
      <c r="N488" s="331"/>
      <c r="O488" s="331"/>
      <c r="P488" s="331"/>
      <c r="Q488" s="331"/>
      <c r="R488" s="331"/>
      <c r="S488" s="331"/>
      <c r="T488" s="331"/>
      <c r="U488" s="331"/>
      <c r="V488" s="331"/>
      <c r="W488" s="331"/>
      <c r="X488" s="331"/>
      <c r="Y488" s="331"/>
      <c r="Z488" s="331"/>
      <c r="AA488" s="331"/>
      <c r="AB488" s="332"/>
      <c r="AC488" s="380">
        <f t="shared" si="309"/>
        <v>0</v>
      </c>
    </row>
    <row r="489" spans="1:36" s="231" customFormat="1" ht="32.25" customHeight="1">
      <c r="A489" s="426" t="s">
        <v>1351</v>
      </c>
      <c r="B489" s="312" t="s">
        <v>573</v>
      </c>
      <c r="C489" s="312" t="s">
        <v>573</v>
      </c>
      <c r="D489" s="656"/>
      <c r="E489" s="462"/>
      <c r="F489" s="463"/>
      <c r="G489" s="318"/>
      <c r="H489" s="311"/>
      <c r="I489" s="610"/>
      <c r="J489" s="465">
        <f t="shared" ref="J489:AA489" si="318">+J490</f>
        <v>557</v>
      </c>
      <c r="K489" s="465">
        <f t="shared" si="318"/>
        <v>0</v>
      </c>
      <c r="L489" s="465">
        <f t="shared" si="318"/>
        <v>0</v>
      </c>
      <c r="M489" s="465">
        <f t="shared" si="318"/>
        <v>557</v>
      </c>
      <c r="N489" s="465">
        <f t="shared" si="318"/>
        <v>0</v>
      </c>
      <c r="O489" s="465">
        <f t="shared" si="318"/>
        <v>0</v>
      </c>
      <c r="P489" s="465">
        <f t="shared" si="318"/>
        <v>0</v>
      </c>
      <c r="Q489" s="465">
        <f t="shared" si="318"/>
        <v>0</v>
      </c>
      <c r="R489" s="465">
        <f t="shared" si="318"/>
        <v>0</v>
      </c>
      <c r="S489" s="465">
        <f t="shared" si="318"/>
        <v>0</v>
      </c>
      <c r="T489" s="465">
        <f t="shared" si="318"/>
        <v>0</v>
      </c>
      <c r="U489" s="465">
        <f t="shared" si="318"/>
        <v>0</v>
      </c>
      <c r="V489" s="465">
        <f t="shared" si="318"/>
        <v>556</v>
      </c>
      <c r="W489" s="465">
        <f t="shared" si="318"/>
        <v>556</v>
      </c>
      <c r="X489" s="465">
        <f t="shared" si="318"/>
        <v>556</v>
      </c>
      <c r="Y489" s="465">
        <f t="shared" si="318"/>
        <v>0</v>
      </c>
      <c r="Z489" s="465">
        <f t="shared" si="318"/>
        <v>0</v>
      </c>
      <c r="AA489" s="465">
        <f t="shared" si="318"/>
        <v>0</v>
      </c>
      <c r="AB489" s="466"/>
      <c r="AC489" s="380">
        <f t="shared" si="309"/>
        <v>0</v>
      </c>
    </row>
    <row r="490" spans="1:36" s="10" customFormat="1" ht="27.75" customHeight="1">
      <c r="A490" s="393" t="s">
        <v>1352</v>
      </c>
      <c r="B490" s="394" t="s">
        <v>38</v>
      </c>
      <c r="C490" s="42" t="s">
        <v>573</v>
      </c>
      <c r="D490" s="394"/>
      <c r="E490" s="394"/>
      <c r="F490" s="419"/>
      <c r="G490" s="419"/>
      <c r="H490" s="420"/>
      <c r="I490" s="421"/>
      <c r="J490" s="453">
        <f t="shared" ref="J490:AA490" si="319">J492+J491+J494</f>
        <v>557</v>
      </c>
      <c r="K490" s="453">
        <f t="shared" si="319"/>
        <v>0</v>
      </c>
      <c r="L490" s="453">
        <f t="shared" si="319"/>
        <v>0</v>
      </c>
      <c r="M490" s="453">
        <f t="shared" si="319"/>
        <v>557</v>
      </c>
      <c r="N490" s="453">
        <f t="shared" si="319"/>
        <v>0</v>
      </c>
      <c r="O490" s="453">
        <f t="shared" si="319"/>
        <v>0</v>
      </c>
      <c r="P490" s="453">
        <f t="shared" si="319"/>
        <v>0</v>
      </c>
      <c r="Q490" s="453">
        <f t="shared" si="319"/>
        <v>0</v>
      </c>
      <c r="R490" s="453">
        <f t="shared" si="319"/>
        <v>0</v>
      </c>
      <c r="S490" s="453">
        <f t="shared" si="319"/>
        <v>0</v>
      </c>
      <c r="T490" s="453">
        <f t="shared" si="319"/>
        <v>0</v>
      </c>
      <c r="U490" s="453">
        <f t="shared" si="319"/>
        <v>0</v>
      </c>
      <c r="V490" s="453">
        <f t="shared" si="319"/>
        <v>556</v>
      </c>
      <c r="W490" s="453">
        <f t="shared" si="319"/>
        <v>556</v>
      </c>
      <c r="X490" s="453">
        <f t="shared" si="319"/>
        <v>556</v>
      </c>
      <c r="Y490" s="453">
        <f t="shared" si="319"/>
        <v>0</v>
      </c>
      <c r="Z490" s="453">
        <f t="shared" si="319"/>
        <v>0</v>
      </c>
      <c r="AA490" s="453">
        <f t="shared" si="319"/>
        <v>0</v>
      </c>
      <c r="AB490" s="454"/>
      <c r="AC490" s="380">
        <f t="shared" si="309"/>
        <v>0</v>
      </c>
    </row>
    <row r="491" spans="1:36" s="10" customFormat="1" ht="39.75" customHeight="1">
      <c r="A491" s="332" t="s">
        <v>39</v>
      </c>
      <c r="B491" s="326" t="s">
        <v>1254</v>
      </c>
      <c r="C491" s="42" t="s">
        <v>573</v>
      </c>
      <c r="D491" s="554"/>
      <c r="E491" s="332"/>
      <c r="F491" s="471"/>
      <c r="G491" s="471"/>
      <c r="H491" s="332"/>
      <c r="I491" s="471"/>
      <c r="J491" s="331"/>
      <c r="K491" s="331"/>
      <c r="L491" s="331"/>
      <c r="M491" s="331"/>
      <c r="N491" s="331"/>
      <c r="O491" s="331"/>
      <c r="P491" s="331"/>
      <c r="Q491" s="331"/>
      <c r="R491" s="331"/>
      <c r="S491" s="331"/>
      <c r="T491" s="331"/>
      <c r="U491" s="331"/>
      <c r="V491" s="331"/>
      <c r="W491" s="331"/>
      <c r="X491" s="331"/>
      <c r="Y491" s="331"/>
      <c r="Z491" s="331"/>
      <c r="AA491" s="331"/>
      <c r="AB491" s="332"/>
      <c r="AC491" s="380">
        <f t="shared" si="309"/>
        <v>0</v>
      </c>
    </row>
    <row r="492" spans="1:36" s="10" customFormat="1" ht="51" customHeight="1">
      <c r="A492" s="397" t="s">
        <v>467</v>
      </c>
      <c r="B492" s="400" t="s">
        <v>183</v>
      </c>
      <c r="C492" s="42" t="s">
        <v>573</v>
      </c>
      <c r="D492" s="657"/>
      <c r="E492" s="657"/>
      <c r="F492" s="424"/>
      <c r="G492" s="424"/>
      <c r="H492" s="425"/>
      <c r="I492" s="328"/>
      <c r="J492" s="436">
        <f t="shared" ref="J492:AA492" si="320">+J493</f>
        <v>557</v>
      </c>
      <c r="K492" s="436">
        <f t="shared" si="320"/>
        <v>0</v>
      </c>
      <c r="L492" s="436">
        <f t="shared" si="320"/>
        <v>0</v>
      </c>
      <c r="M492" s="436">
        <f t="shared" si="320"/>
        <v>557</v>
      </c>
      <c r="N492" s="436">
        <f t="shared" si="320"/>
        <v>0</v>
      </c>
      <c r="O492" s="436">
        <f t="shared" si="320"/>
        <v>0</v>
      </c>
      <c r="P492" s="436">
        <f t="shared" si="320"/>
        <v>0</v>
      </c>
      <c r="Q492" s="436">
        <f t="shared" si="320"/>
        <v>0</v>
      </c>
      <c r="R492" s="436">
        <f t="shared" si="320"/>
        <v>0</v>
      </c>
      <c r="S492" s="436">
        <f t="shared" si="320"/>
        <v>0</v>
      </c>
      <c r="T492" s="436">
        <f t="shared" si="320"/>
        <v>0</v>
      </c>
      <c r="U492" s="436">
        <f t="shared" si="320"/>
        <v>0</v>
      </c>
      <c r="V492" s="436">
        <f t="shared" si="320"/>
        <v>556</v>
      </c>
      <c r="W492" s="436">
        <f t="shared" si="320"/>
        <v>556</v>
      </c>
      <c r="X492" s="436">
        <f t="shared" si="320"/>
        <v>556</v>
      </c>
      <c r="Y492" s="436">
        <f t="shared" si="320"/>
        <v>0</v>
      </c>
      <c r="Z492" s="436">
        <f t="shared" si="320"/>
        <v>0</v>
      </c>
      <c r="AA492" s="436">
        <f t="shared" si="320"/>
        <v>0</v>
      </c>
      <c r="AB492" s="437"/>
      <c r="AC492" s="380">
        <f t="shared" si="309"/>
        <v>0</v>
      </c>
    </row>
    <row r="493" spans="1:36" s="8" customFormat="1" ht="63" customHeight="1">
      <c r="A493" s="100" t="s">
        <v>144</v>
      </c>
      <c r="B493" s="27" t="s">
        <v>574</v>
      </c>
      <c r="C493" s="42" t="s">
        <v>573</v>
      </c>
      <c r="D493" s="13">
        <v>8047196</v>
      </c>
      <c r="E493" s="15"/>
      <c r="F493" s="13" t="s">
        <v>657</v>
      </c>
      <c r="G493" s="13" t="s">
        <v>186</v>
      </c>
      <c r="H493" s="13" t="s">
        <v>575</v>
      </c>
      <c r="I493" s="13" t="s">
        <v>568</v>
      </c>
      <c r="J493" s="399">
        <v>557</v>
      </c>
      <c r="K493" s="12"/>
      <c r="L493" s="12"/>
      <c r="M493" s="16">
        <v>557</v>
      </c>
      <c r="N493" s="17"/>
      <c r="O493" s="12"/>
      <c r="P493" s="12"/>
      <c r="Q493" s="17"/>
      <c r="R493" s="399"/>
      <c r="S493" s="12"/>
      <c r="T493" s="12"/>
      <c r="U493" s="399"/>
      <c r="V493" s="19">
        <v>556</v>
      </c>
      <c r="W493" s="19">
        <f>SUM(X493:AA493)</f>
        <v>556</v>
      </c>
      <c r="X493" s="19">
        <v>556</v>
      </c>
      <c r="Y493" s="19"/>
      <c r="Z493" s="19"/>
      <c r="AA493" s="19"/>
      <c r="AB493" s="108" t="s">
        <v>1639</v>
      </c>
      <c r="AC493" s="380">
        <f t="shared" si="309"/>
        <v>0</v>
      </c>
      <c r="AJ493" s="8" t="s">
        <v>685</v>
      </c>
    </row>
    <row r="494" spans="1:36" s="417" customFormat="1" ht="28.5" customHeight="1">
      <c r="A494" s="327" t="s">
        <v>1306</v>
      </c>
      <c r="B494" s="413" t="s">
        <v>1307</v>
      </c>
      <c r="C494" s="42" t="s">
        <v>573</v>
      </c>
      <c r="D494" s="494"/>
      <c r="E494" s="494"/>
      <c r="F494" s="494"/>
      <c r="G494" s="494"/>
      <c r="H494" s="494"/>
      <c r="I494" s="327"/>
      <c r="J494" s="331"/>
      <c r="K494" s="331"/>
      <c r="L494" s="331"/>
      <c r="M494" s="331"/>
      <c r="N494" s="331"/>
      <c r="O494" s="331"/>
      <c r="P494" s="331"/>
      <c r="Q494" s="331"/>
      <c r="R494" s="331"/>
      <c r="S494" s="331"/>
      <c r="T494" s="331"/>
      <c r="U494" s="331"/>
      <c r="V494" s="331"/>
      <c r="W494" s="331"/>
      <c r="X494" s="331"/>
      <c r="Y494" s="331"/>
      <c r="Z494" s="331"/>
      <c r="AA494" s="331"/>
      <c r="AB494" s="332"/>
      <c r="AC494" s="380">
        <f t="shared" si="309"/>
        <v>0</v>
      </c>
    </row>
    <row r="495" spans="1:36" s="8" customFormat="1" ht="24.75" customHeight="1">
      <c r="A495" s="426" t="s">
        <v>1353</v>
      </c>
      <c r="B495" s="655" t="s">
        <v>1248</v>
      </c>
      <c r="C495" s="655" t="s">
        <v>1248</v>
      </c>
      <c r="D495" s="13"/>
      <c r="E495" s="626"/>
      <c r="F495" s="13"/>
      <c r="G495" s="13"/>
      <c r="H495" s="13"/>
      <c r="I495" s="13"/>
      <c r="J495" s="391">
        <f t="shared" ref="J495:AB495" si="321">+J496</f>
        <v>468</v>
      </c>
      <c r="K495" s="391">
        <f t="shared" si="321"/>
        <v>0</v>
      </c>
      <c r="L495" s="391">
        <f t="shared" si="321"/>
        <v>0</v>
      </c>
      <c r="M495" s="391">
        <f t="shared" si="321"/>
        <v>468</v>
      </c>
      <c r="N495" s="391">
        <f t="shared" si="321"/>
        <v>0</v>
      </c>
      <c r="O495" s="391">
        <f t="shared" si="321"/>
        <v>0</v>
      </c>
      <c r="P495" s="391">
        <f t="shared" si="321"/>
        <v>0</v>
      </c>
      <c r="Q495" s="391">
        <f t="shared" si="321"/>
        <v>0</v>
      </c>
      <c r="R495" s="391">
        <f t="shared" si="321"/>
        <v>346</v>
      </c>
      <c r="S495" s="391">
        <f t="shared" si="321"/>
        <v>0</v>
      </c>
      <c r="T495" s="391">
        <f t="shared" si="321"/>
        <v>0</v>
      </c>
      <c r="U495" s="391">
        <f t="shared" si="321"/>
        <v>346</v>
      </c>
      <c r="V495" s="391">
        <f t="shared" si="321"/>
        <v>122</v>
      </c>
      <c r="W495" s="391">
        <f t="shared" si="321"/>
        <v>61</v>
      </c>
      <c r="X495" s="391">
        <f t="shared" si="321"/>
        <v>61</v>
      </c>
      <c r="Y495" s="391">
        <f t="shared" si="321"/>
        <v>0</v>
      </c>
      <c r="Z495" s="391">
        <f t="shared" si="321"/>
        <v>0</v>
      </c>
      <c r="AA495" s="391">
        <f t="shared" si="321"/>
        <v>0</v>
      </c>
      <c r="AB495" s="392">
        <f t="shared" si="321"/>
        <v>0</v>
      </c>
      <c r="AC495" s="380">
        <f t="shared" si="309"/>
        <v>0</v>
      </c>
    </row>
    <row r="496" spans="1:36" s="10" customFormat="1" ht="26.25" customHeight="1">
      <c r="A496" s="393" t="s">
        <v>1354</v>
      </c>
      <c r="B496" s="394" t="s">
        <v>38</v>
      </c>
      <c r="C496" s="43" t="s">
        <v>1248</v>
      </c>
      <c r="D496" s="328"/>
      <c r="E496" s="400"/>
      <c r="F496" s="328"/>
      <c r="G496" s="328"/>
      <c r="H496" s="328"/>
      <c r="I496" s="328"/>
      <c r="J496" s="395">
        <f>J497+J498+J501</f>
        <v>468</v>
      </c>
      <c r="K496" s="395">
        <f t="shared" ref="K496:AA496" si="322">K497+K498+K501</f>
        <v>0</v>
      </c>
      <c r="L496" s="395">
        <f t="shared" si="322"/>
        <v>0</v>
      </c>
      <c r="M496" s="395">
        <f t="shared" si="322"/>
        <v>468</v>
      </c>
      <c r="N496" s="395">
        <f t="shared" si="322"/>
        <v>0</v>
      </c>
      <c r="O496" s="395">
        <f t="shared" si="322"/>
        <v>0</v>
      </c>
      <c r="P496" s="395">
        <f t="shared" si="322"/>
        <v>0</v>
      </c>
      <c r="Q496" s="395">
        <f t="shared" si="322"/>
        <v>0</v>
      </c>
      <c r="R496" s="395">
        <f t="shared" si="322"/>
        <v>346</v>
      </c>
      <c r="S496" s="395">
        <f t="shared" si="322"/>
        <v>0</v>
      </c>
      <c r="T496" s="395">
        <f t="shared" si="322"/>
        <v>0</v>
      </c>
      <c r="U496" s="395">
        <f t="shared" si="322"/>
        <v>346</v>
      </c>
      <c r="V496" s="395">
        <f t="shared" si="322"/>
        <v>122</v>
      </c>
      <c r="W496" s="395">
        <f t="shared" si="322"/>
        <v>61</v>
      </c>
      <c r="X496" s="395">
        <f t="shared" si="322"/>
        <v>61</v>
      </c>
      <c r="Y496" s="395">
        <f t="shared" si="322"/>
        <v>0</v>
      </c>
      <c r="Z496" s="395">
        <f t="shared" si="322"/>
        <v>0</v>
      </c>
      <c r="AA496" s="395">
        <f t="shared" si="322"/>
        <v>0</v>
      </c>
      <c r="AB496" s="330"/>
      <c r="AC496" s="380">
        <f t="shared" si="309"/>
        <v>0</v>
      </c>
    </row>
    <row r="497" spans="1:36" s="10" customFormat="1" ht="39.75" customHeight="1">
      <c r="A497" s="332" t="s">
        <v>39</v>
      </c>
      <c r="B497" s="326" t="s">
        <v>1254</v>
      </c>
      <c r="C497" s="43" t="s">
        <v>1248</v>
      </c>
      <c r="D497" s="554"/>
      <c r="E497" s="332"/>
      <c r="F497" s="471"/>
      <c r="G497" s="471"/>
      <c r="H497" s="332"/>
      <c r="I497" s="471"/>
      <c r="J497" s="331"/>
      <c r="K497" s="331"/>
      <c r="L497" s="331"/>
      <c r="M497" s="331"/>
      <c r="N497" s="331"/>
      <c r="O497" s="331"/>
      <c r="P497" s="331"/>
      <c r="Q497" s="331"/>
      <c r="R497" s="331"/>
      <c r="S497" s="331"/>
      <c r="T497" s="331"/>
      <c r="U497" s="331"/>
      <c r="V497" s="331"/>
      <c r="W497" s="331"/>
      <c r="X497" s="331"/>
      <c r="Y497" s="331"/>
      <c r="Z497" s="331"/>
      <c r="AA497" s="331"/>
      <c r="AB497" s="332"/>
      <c r="AC497" s="380">
        <f t="shared" si="309"/>
        <v>0</v>
      </c>
    </row>
    <row r="498" spans="1:36" s="10" customFormat="1" ht="42.75" customHeight="1">
      <c r="A498" s="397" t="s">
        <v>467</v>
      </c>
      <c r="B498" s="400" t="s">
        <v>183</v>
      </c>
      <c r="C498" s="43" t="s">
        <v>1248</v>
      </c>
      <c r="D498" s="13"/>
      <c r="E498" s="626"/>
      <c r="F498" s="328"/>
      <c r="G498" s="328"/>
      <c r="H498" s="328"/>
      <c r="I498" s="328"/>
      <c r="J498" s="331">
        <f t="shared" ref="J498:Y499" si="323">+J499</f>
        <v>468</v>
      </c>
      <c r="K498" s="331">
        <f t="shared" si="323"/>
        <v>0</v>
      </c>
      <c r="L498" s="331">
        <f t="shared" si="323"/>
        <v>0</v>
      </c>
      <c r="M498" s="331">
        <f t="shared" si="323"/>
        <v>468</v>
      </c>
      <c r="N498" s="331">
        <f t="shared" si="323"/>
        <v>0</v>
      </c>
      <c r="O498" s="331">
        <f t="shared" si="323"/>
        <v>0</v>
      </c>
      <c r="P498" s="331">
        <f t="shared" si="323"/>
        <v>0</v>
      </c>
      <c r="Q498" s="331">
        <f t="shared" si="323"/>
        <v>0</v>
      </c>
      <c r="R498" s="331">
        <f t="shared" si="323"/>
        <v>346</v>
      </c>
      <c r="S498" s="331">
        <f t="shared" si="323"/>
        <v>0</v>
      </c>
      <c r="T498" s="331">
        <f t="shared" si="323"/>
        <v>0</v>
      </c>
      <c r="U498" s="331">
        <f t="shared" si="323"/>
        <v>346</v>
      </c>
      <c r="V498" s="331">
        <f t="shared" si="323"/>
        <v>122</v>
      </c>
      <c r="W498" s="331">
        <f t="shared" si="323"/>
        <v>61</v>
      </c>
      <c r="X498" s="331">
        <f t="shared" si="323"/>
        <v>61</v>
      </c>
      <c r="Y498" s="331">
        <f t="shared" si="323"/>
        <v>0</v>
      </c>
      <c r="Z498" s="331">
        <f t="shared" ref="Z498:AA498" si="324">+Z499</f>
        <v>0</v>
      </c>
      <c r="AA498" s="331">
        <f t="shared" si="324"/>
        <v>0</v>
      </c>
      <c r="AB498" s="330"/>
      <c r="AC498" s="380">
        <f t="shared" si="309"/>
        <v>0</v>
      </c>
    </row>
    <row r="499" spans="1:36" s="8" customFormat="1" ht="46.5" customHeight="1">
      <c r="A499" s="430" t="s">
        <v>144</v>
      </c>
      <c r="B499" s="43" t="s">
        <v>504</v>
      </c>
      <c r="C499" s="43" t="s">
        <v>1248</v>
      </c>
      <c r="D499" s="13"/>
      <c r="E499" s="626"/>
      <c r="F499" s="13"/>
      <c r="G499" s="13"/>
      <c r="H499" s="13"/>
      <c r="I499" s="13"/>
      <c r="J499" s="399">
        <f t="shared" si="323"/>
        <v>468</v>
      </c>
      <c r="K499" s="399">
        <f t="shared" si="323"/>
        <v>0</v>
      </c>
      <c r="L499" s="399">
        <f t="shared" si="323"/>
        <v>0</v>
      </c>
      <c r="M499" s="399">
        <f t="shared" si="323"/>
        <v>468</v>
      </c>
      <c r="N499" s="399">
        <f t="shared" si="323"/>
        <v>0</v>
      </c>
      <c r="O499" s="399">
        <f t="shared" si="323"/>
        <v>0</v>
      </c>
      <c r="P499" s="399">
        <f t="shared" si="323"/>
        <v>0</v>
      </c>
      <c r="Q499" s="399">
        <f t="shared" si="323"/>
        <v>0</v>
      </c>
      <c r="R499" s="399">
        <f t="shared" si="323"/>
        <v>346</v>
      </c>
      <c r="S499" s="399">
        <f t="shared" si="323"/>
        <v>0</v>
      </c>
      <c r="T499" s="399">
        <f t="shared" si="323"/>
        <v>0</v>
      </c>
      <c r="U499" s="399">
        <f t="shared" si="323"/>
        <v>346</v>
      </c>
      <c r="V499" s="399">
        <f t="shared" si="323"/>
        <v>122</v>
      </c>
      <c r="W499" s="399">
        <f t="shared" si="323"/>
        <v>61</v>
      </c>
      <c r="X499" s="399">
        <f t="shared" si="323"/>
        <v>61</v>
      </c>
      <c r="Y499" s="399">
        <f t="shared" si="323"/>
        <v>0</v>
      </c>
      <c r="Z499" s="399">
        <f t="shared" ref="Z499:AA499" si="325">+Z500</f>
        <v>0</v>
      </c>
      <c r="AA499" s="399">
        <f t="shared" si="325"/>
        <v>0</v>
      </c>
      <c r="AB499" s="108" t="s">
        <v>1639</v>
      </c>
      <c r="AC499" s="380">
        <f t="shared" si="309"/>
        <v>0</v>
      </c>
      <c r="AJ499" s="8" t="s">
        <v>685</v>
      </c>
    </row>
    <row r="500" spans="1:36" s="8" customFormat="1" ht="51" customHeight="1">
      <c r="A500" s="100" t="s">
        <v>502</v>
      </c>
      <c r="B500" s="27" t="s">
        <v>1249</v>
      </c>
      <c r="C500" s="43" t="s">
        <v>1248</v>
      </c>
      <c r="D500" s="13"/>
      <c r="E500" s="626"/>
      <c r="F500" s="13" t="s">
        <v>1250</v>
      </c>
      <c r="G500" s="13"/>
      <c r="H500" s="13" t="s">
        <v>240</v>
      </c>
      <c r="I500" s="21" t="s">
        <v>511</v>
      </c>
      <c r="J500" s="399">
        <v>468</v>
      </c>
      <c r="K500" s="12"/>
      <c r="L500" s="12"/>
      <c r="M500" s="12">
        <v>468</v>
      </c>
      <c r="N500" s="17"/>
      <c r="O500" s="12"/>
      <c r="P500" s="12"/>
      <c r="Q500" s="17"/>
      <c r="R500" s="17">
        <f>+U500</f>
        <v>346</v>
      </c>
      <c r="S500" s="12"/>
      <c r="T500" s="12"/>
      <c r="U500" s="17">
        <f>235+111</f>
        <v>346</v>
      </c>
      <c r="V500" s="17">
        <f>61+61</f>
        <v>122</v>
      </c>
      <c r="W500" s="19">
        <f>SUM(X500:AA500)</f>
        <v>61</v>
      </c>
      <c r="X500" s="19">
        <v>61</v>
      </c>
      <c r="Y500" s="19"/>
      <c r="Z500" s="19"/>
      <c r="AA500" s="19"/>
      <c r="AB500" s="108"/>
      <c r="AC500" s="380">
        <f t="shared" si="309"/>
        <v>0</v>
      </c>
    </row>
    <row r="501" spans="1:36" s="417" customFormat="1" ht="28.5" customHeight="1">
      <c r="A501" s="327" t="s">
        <v>1306</v>
      </c>
      <c r="B501" s="413" t="s">
        <v>1307</v>
      </c>
      <c r="C501" s="43" t="s">
        <v>1248</v>
      </c>
      <c r="D501" s="494"/>
      <c r="E501" s="494"/>
      <c r="F501" s="494"/>
      <c r="G501" s="494"/>
      <c r="H501" s="494"/>
      <c r="I501" s="327"/>
      <c r="J501" s="331"/>
      <c r="K501" s="331"/>
      <c r="L501" s="331"/>
      <c r="M501" s="331"/>
      <c r="N501" s="331"/>
      <c r="O501" s="331"/>
      <c r="P501" s="331"/>
      <c r="Q501" s="331"/>
      <c r="R501" s="331"/>
      <c r="S501" s="331"/>
      <c r="T501" s="331"/>
      <c r="U501" s="331"/>
      <c r="V501" s="331"/>
      <c r="W501" s="331"/>
      <c r="X501" s="331"/>
      <c r="Y501" s="331"/>
      <c r="Z501" s="331"/>
      <c r="AA501" s="331"/>
      <c r="AB501" s="332"/>
      <c r="AC501" s="380">
        <f t="shared" si="309"/>
        <v>0</v>
      </c>
    </row>
    <row r="502" spans="1:36" s="231" customFormat="1" ht="43.5" customHeight="1">
      <c r="A502" s="426" t="s">
        <v>1355</v>
      </c>
      <c r="B502" s="305" t="s">
        <v>583</v>
      </c>
      <c r="C502" s="305" t="s">
        <v>583</v>
      </c>
      <c r="D502" s="656"/>
      <c r="E502" s="462"/>
      <c r="F502" s="463"/>
      <c r="G502" s="318"/>
      <c r="H502" s="311"/>
      <c r="I502" s="610"/>
      <c r="J502" s="465">
        <f t="shared" ref="J502:AA502" si="326">+J503</f>
        <v>246963</v>
      </c>
      <c r="K502" s="465">
        <f t="shared" si="326"/>
        <v>3000</v>
      </c>
      <c r="L502" s="465">
        <f t="shared" si="326"/>
        <v>43214</v>
      </c>
      <c r="M502" s="465">
        <f t="shared" si="326"/>
        <v>200749</v>
      </c>
      <c r="N502" s="465">
        <f t="shared" si="326"/>
        <v>126595</v>
      </c>
      <c r="O502" s="465">
        <f t="shared" si="326"/>
        <v>3000</v>
      </c>
      <c r="P502" s="465">
        <f t="shared" si="326"/>
        <v>20000</v>
      </c>
      <c r="Q502" s="465">
        <f t="shared" si="326"/>
        <v>103595</v>
      </c>
      <c r="R502" s="465">
        <f t="shared" si="326"/>
        <v>165333</v>
      </c>
      <c r="S502" s="465">
        <f t="shared" si="326"/>
        <v>3000</v>
      </c>
      <c r="T502" s="465">
        <f t="shared" si="326"/>
        <v>20000</v>
      </c>
      <c r="U502" s="465">
        <f t="shared" si="326"/>
        <v>142333</v>
      </c>
      <c r="V502" s="465">
        <f t="shared" si="326"/>
        <v>36612.699999999997</v>
      </c>
      <c r="W502" s="465">
        <f t="shared" si="326"/>
        <v>25635</v>
      </c>
      <c r="X502" s="465">
        <f t="shared" si="326"/>
        <v>1984</v>
      </c>
      <c r="Y502" s="465">
        <f t="shared" si="326"/>
        <v>20000</v>
      </c>
      <c r="Z502" s="465">
        <f t="shared" si="326"/>
        <v>3651</v>
      </c>
      <c r="AA502" s="465">
        <f t="shared" si="326"/>
        <v>0</v>
      </c>
      <c r="AB502" s="466"/>
      <c r="AC502" s="380">
        <f t="shared" si="309"/>
        <v>0</v>
      </c>
    </row>
    <row r="503" spans="1:36" s="10" customFormat="1" ht="26.25" customHeight="1">
      <c r="A503" s="393" t="s">
        <v>1356</v>
      </c>
      <c r="B503" s="394" t="s">
        <v>38</v>
      </c>
      <c r="C503" s="101" t="s">
        <v>583</v>
      </c>
      <c r="D503" s="328"/>
      <c r="E503" s="400"/>
      <c r="F503" s="328"/>
      <c r="G503" s="328"/>
      <c r="H503" s="328"/>
      <c r="I503" s="328"/>
      <c r="J503" s="395">
        <f>+J504+J515+J523</f>
        <v>246963</v>
      </c>
      <c r="K503" s="395">
        <f t="shared" ref="K503:AA503" si="327">+K504+K515+K523</f>
        <v>3000</v>
      </c>
      <c r="L503" s="395">
        <f t="shared" si="327"/>
        <v>43214</v>
      </c>
      <c r="M503" s="395">
        <f t="shared" si="327"/>
        <v>200749</v>
      </c>
      <c r="N503" s="395">
        <f t="shared" si="327"/>
        <v>126595</v>
      </c>
      <c r="O503" s="395">
        <f t="shared" si="327"/>
        <v>3000</v>
      </c>
      <c r="P503" s="395">
        <f t="shared" si="327"/>
        <v>20000</v>
      </c>
      <c r="Q503" s="395">
        <f t="shared" si="327"/>
        <v>103595</v>
      </c>
      <c r="R503" s="395">
        <f t="shared" si="327"/>
        <v>165333</v>
      </c>
      <c r="S503" s="395">
        <f t="shared" si="327"/>
        <v>3000</v>
      </c>
      <c r="T503" s="395">
        <f t="shared" si="327"/>
        <v>20000</v>
      </c>
      <c r="U503" s="395">
        <f t="shared" si="327"/>
        <v>142333</v>
      </c>
      <c r="V503" s="395">
        <f t="shared" si="327"/>
        <v>36612.699999999997</v>
      </c>
      <c r="W503" s="395">
        <f t="shared" si="327"/>
        <v>25635</v>
      </c>
      <c r="X503" s="395">
        <f t="shared" si="327"/>
        <v>1984</v>
      </c>
      <c r="Y503" s="395">
        <f t="shared" si="327"/>
        <v>20000</v>
      </c>
      <c r="Z503" s="395">
        <f t="shared" si="327"/>
        <v>3651</v>
      </c>
      <c r="AA503" s="395">
        <f t="shared" si="327"/>
        <v>0</v>
      </c>
      <c r="AB503" s="330"/>
      <c r="AC503" s="380">
        <f t="shared" si="309"/>
        <v>0</v>
      </c>
    </row>
    <row r="504" spans="1:36" s="10" customFormat="1" ht="39.75" customHeight="1">
      <c r="A504" s="332" t="s">
        <v>39</v>
      </c>
      <c r="B504" s="326" t="s">
        <v>1254</v>
      </c>
      <c r="C504" s="101" t="s">
        <v>583</v>
      </c>
      <c r="D504" s="554"/>
      <c r="E504" s="332"/>
      <c r="F504" s="471"/>
      <c r="G504" s="471"/>
      <c r="H504" s="332"/>
      <c r="I504" s="471"/>
      <c r="J504" s="331">
        <f>+SUM(J505:J514)</f>
        <v>119882</v>
      </c>
      <c r="K504" s="331">
        <f t="shared" ref="K504:AA504" si="328">+SUM(K505:K514)</f>
        <v>3000</v>
      </c>
      <c r="L504" s="331">
        <f t="shared" si="328"/>
        <v>43214</v>
      </c>
      <c r="M504" s="331">
        <f t="shared" si="328"/>
        <v>73668</v>
      </c>
      <c r="N504" s="331">
        <f t="shared" si="328"/>
        <v>39326</v>
      </c>
      <c r="O504" s="331">
        <f t="shared" si="328"/>
        <v>3000</v>
      </c>
      <c r="P504" s="331">
        <f t="shared" si="328"/>
        <v>20000</v>
      </c>
      <c r="Q504" s="331">
        <f t="shared" si="328"/>
        <v>16326</v>
      </c>
      <c r="R504" s="331">
        <f t="shared" si="328"/>
        <v>74509</v>
      </c>
      <c r="S504" s="331">
        <f t="shared" si="328"/>
        <v>3000</v>
      </c>
      <c r="T504" s="331">
        <f t="shared" si="328"/>
        <v>20000</v>
      </c>
      <c r="U504" s="331">
        <f t="shared" si="328"/>
        <v>51509</v>
      </c>
      <c r="V504" s="331">
        <f t="shared" si="328"/>
        <v>4567</v>
      </c>
      <c r="W504" s="331">
        <f>+SUM(W505:W514)</f>
        <v>3885</v>
      </c>
      <c r="X504" s="331">
        <f t="shared" si="328"/>
        <v>1984</v>
      </c>
      <c r="Y504" s="331">
        <f t="shared" si="328"/>
        <v>0</v>
      </c>
      <c r="Z504" s="331">
        <f t="shared" si="328"/>
        <v>1901</v>
      </c>
      <c r="AA504" s="331">
        <f t="shared" si="328"/>
        <v>0</v>
      </c>
      <c r="AB504" s="332"/>
      <c r="AC504" s="380">
        <f t="shared" si="309"/>
        <v>0</v>
      </c>
    </row>
    <row r="505" spans="1:36" s="231" customFormat="1" ht="58.5" customHeight="1">
      <c r="A505" s="103" t="s">
        <v>144</v>
      </c>
      <c r="B505" s="42" t="s">
        <v>1291</v>
      </c>
      <c r="C505" s="101" t="s">
        <v>583</v>
      </c>
      <c r="D505" s="313">
        <v>7108083</v>
      </c>
      <c r="E505" s="433"/>
      <c r="F505" s="13"/>
      <c r="G505" s="433"/>
      <c r="H505" s="13"/>
      <c r="I505" s="13"/>
      <c r="J505" s="17">
        <v>4820</v>
      </c>
      <c r="K505" s="19"/>
      <c r="L505" s="407"/>
      <c r="M505" s="17">
        <v>4820</v>
      </c>
      <c r="N505" s="12"/>
      <c r="O505" s="19"/>
      <c r="P505" s="19"/>
      <c r="Q505" s="19"/>
      <c r="R505" s="17">
        <v>3513</v>
      </c>
      <c r="S505" s="19"/>
      <c r="T505" s="19"/>
      <c r="U505" s="17">
        <v>3513</v>
      </c>
      <c r="V505" s="17">
        <v>27</v>
      </c>
      <c r="W505" s="17">
        <f>SUM(X505:AA505)</f>
        <v>27</v>
      </c>
      <c r="X505" s="17">
        <v>27</v>
      </c>
      <c r="Y505" s="17"/>
      <c r="Z505" s="17"/>
      <c r="AA505" s="17"/>
      <c r="AB505" s="662" t="s">
        <v>1295</v>
      </c>
      <c r="AC505" s="380">
        <f t="shared" si="309"/>
        <v>0</v>
      </c>
      <c r="AJ505" s="231" t="s">
        <v>1308</v>
      </c>
    </row>
    <row r="506" spans="1:36" s="231" customFormat="1" ht="46.5" customHeight="1">
      <c r="A506" s="103" t="s">
        <v>144</v>
      </c>
      <c r="B506" s="42" t="s">
        <v>1292</v>
      </c>
      <c r="C506" s="101" t="s">
        <v>583</v>
      </c>
      <c r="D506" s="313">
        <v>7366362</v>
      </c>
      <c r="E506" s="433"/>
      <c r="F506" s="13"/>
      <c r="G506" s="433"/>
      <c r="H506" s="13"/>
      <c r="I506" s="13"/>
      <c r="J506" s="17">
        <v>10996</v>
      </c>
      <c r="K506" s="19"/>
      <c r="L506" s="407"/>
      <c r="M506" s="17">
        <v>10996</v>
      </c>
      <c r="N506" s="12"/>
      <c r="O506" s="19"/>
      <c r="P506" s="19"/>
      <c r="Q506" s="19"/>
      <c r="R506" s="17">
        <v>8119</v>
      </c>
      <c r="S506" s="19"/>
      <c r="T506" s="19"/>
      <c r="U506" s="17">
        <v>8119</v>
      </c>
      <c r="V506" s="17">
        <v>40</v>
      </c>
      <c r="W506" s="17">
        <f t="shared" ref="W506:W514" si="329">SUM(X506:AA506)</f>
        <v>40</v>
      </c>
      <c r="X506" s="17">
        <v>40</v>
      </c>
      <c r="Y506" s="17"/>
      <c r="Z506" s="17"/>
      <c r="AA506" s="17"/>
      <c r="AB506" s="662" t="s">
        <v>1296</v>
      </c>
      <c r="AC506" s="380">
        <f t="shared" si="309"/>
        <v>0</v>
      </c>
      <c r="AJ506" s="231" t="s">
        <v>1308</v>
      </c>
    </row>
    <row r="507" spans="1:36" s="231" customFormat="1" ht="33.75" customHeight="1">
      <c r="A507" s="103" t="s">
        <v>144</v>
      </c>
      <c r="B507" s="42" t="s">
        <v>1293</v>
      </c>
      <c r="C507" s="101" t="s">
        <v>583</v>
      </c>
      <c r="D507" s="313">
        <v>7374342</v>
      </c>
      <c r="E507" s="433"/>
      <c r="F507" s="13"/>
      <c r="G507" s="433"/>
      <c r="H507" s="13"/>
      <c r="I507" s="13"/>
      <c r="J507" s="17">
        <v>14958</v>
      </c>
      <c r="K507" s="19"/>
      <c r="L507" s="407"/>
      <c r="M507" s="17">
        <v>14958</v>
      </c>
      <c r="N507" s="12"/>
      <c r="O507" s="19"/>
      <c r="P507" s="19"/>
      <c r="Q507" s="19"/>
      <c r="R507" s="17">
        <v>8737</v>
      </c>
      <c r="S507" s="19"/>
      <c r="T507" s="19"/>
      <c r="U507" s="17">
        <v>8737</v>
      </c>
      <c r="V507" s="17">
        <v>152</v>
      </c>
      <c r="W507" s="17">
        <f t="shared" si="329"/>
        <v>152</v>
      </c>
      <c r="X507" s="17">
        <v>152</v>
      </c>
      <c r="Y507" s="17"/>
      <c r="Z507" s="17"/>
      <c r="AA507" s="17"/>
      <c r="AB507" s="662" t="s">
        <v>1297</v>
      </c>
      <c r="AC507" s="380">
        <f t="shared" si="309"/>
        <v>0</v>
      </c>
      <c r="AJ507" s="231" t="s">
        <v>1308</v>
      </c>
    </row>
    <row r="508" spans="1:36" s="231" customFormat="1" ht="54.75" customHeight="1">
      <c r="A508" s="103" t="s">
        <v>144</v>
      </c>
      <c r="B508" s="42" t="s">
        <v>1294</v>
      </c>
      <c r="C508" s="101" t="s">
        <v>583</v>
      </c>
      <c r="D508" s="663">
        <v>7495038</v>
      </c>
      <c r="E508" s="433"/>
      <c r="F508" s="13"/>
      <c r="G508" s="433"/>
      <c r="H508" s="13"/>
      <c r="I508" s="13"/>
      <c r="J508" s="17">
        <v>6999</v>
      </c>
      <c r="K508" s="19"/>
      <c r="L508" s="407"/>
      <c r="M508" s="17">
        <v>6999</v>
      </c>
      <c r="N508" s="12"/>
      <c r="O508" s="19"/>
      <c r="P508" s="19"/>
      <c r="Q508" s="19"/>
      <c r="R508" s="17">
        <v>6467</v>
      </c>
      <c r="S508" s="19"/>
      <c r="T508" s="19"/>
      <c r="U508" s="17">
        <v>6467</v>
      </c>
      <c r="V508" s="17">
        <v>302</v>
      </c>
      <c r="W508" s="17">
        <f t="shared" si="329"/>
        <v>302</v>
      </c>
      <c r="X508" s="17">
        <v>302</v>
      </c>
      <c r="Y508" s="17"/>
      <c r="Z508" s="17"/>
      <c r="AA508" s="17"/>
      <c r="AB508" s="662" t="s">
        <v>1298</v>
      </c>
      <c r="AC508" s="380">
        <f t="shared" si="309"/>
        <v>0</v>
      </c>
      <c r="AJ508" s="231" t="s">
        <v>1308</v>
      </c>
    </row>
    <row r="509" spans="1:36" s="231" customFormat="1" ht="58.5" customHeight="1">
      <c r="A509" s="103" t="s">
        <v>144</v>
      </c>
      <c r="B509" s="27" t="s">
        <v>601</v>
      </c>
      <c r="C509" s="101" t="s">
        <v>583</v>
      </c>
      <c r="D509" s="13">
        <v>7888716</v>
      </c>
      <c r="E509" s="433"/>
      <c r="F509" s="13" t="s">
        <v>658</v>
      </c>
      <c r="G509" s="433" t="s">
        <v>186</v>
      </c>
      <c r="H509" s="13" t="s">
        <v>437</v>
      </c>
      <c r="I509" s="13" t="s">
        <v>602</v>
      </c>
      <c r="J509" s="12">
        <f>SUM(K509:M509)</f>
        <v>14933</v>
      </c>
      <c r="K509" s="664"/>
      <c r="L509" s="407">
        <v>9000</v>
      </c>
      <c r="M509" s="664">
        <v>5933</v>
      </c>
      <c r="N509" s="12">
        <f>SUM(O509:Q509)</f>
        <v>14440</v>
      </c>
      <c r="O509" s="399"/>
      <c r="P509" s="19">
        <v>9000</v>
      </c>
      <c r="Q509" s="19">
        <v>5440</v>
      </c>
      <c r="R509" s="12">
        <f>SUM(S509:U509)</f>
        <v>13453</v>
      </c>
      <c r="S509" s="19"/>
      <c r="T509" s="19">
        <v>9000</v>
      </c>
      <c r="U509" s="19">
        <v>4453</v>
      </c>
      <c r="V509" s="43">
        <v>963</v>
      </c>
      <c r="W509" s="17">
        <f t="shared" si="329"/>
        <v>963</v>
      </c>
      <c r="X509" s="407">
        <v>963</v>
      </c>
      <c r="Y509" s="407"/>
      <c r="Z509" s="407"/>
      <c r="AA509" s="407"/>
      <c r="AB509" s="555" t="s">
        <v>1308</v>
      </c>
      <c r="AC509" s="380">
        <f t="shared" si="309"/>
        <v>0</v>
      </c>
      <c r="AJ509" s="231" t="s">
        <v>1308</v>
      </c>
    </row>
    <row r="510" spans="1:36" s="231" customFormat="1" ht="62.25" customHeight="1">
      <c r="A510" s="103" t="s">
        <v>144</v>
      </c>
      <c r="B510" s="27" t="s">
        <v>603</v>
      </c>
      <c r="C510" s="101" t="s">
        <v>583</v>
      </c>
      <c r="D510" s="26" t="s">
        <v>1652</v>
      </c>
      <c r="E510" s="433"/>
      <c r="F510" s="13" t="s">
        <v>470</v>
      </c>
      <c r="G510" s="433" t="s">
        <v>186</v>
      </c>
      <c r="H510" s="13" t="s">
        <v>604</v>
      </c>
      <c r="I510" s="13" t="s">
        <v>605</v>
      </c>
      <c r="J510" s="12">
        <f>SUM(K510:M510)</f>
        <v>14000</v>
      </c>
      <c r="K510" s="664"/>
      <c r="L510" s="407">
        <v>11000</v>
      </c>
      <c r="M510" s="664">
        <v>3000</v>
      </c>
      <c r="N510" s="12">
        <f>SUM(O510:Q510)</f>
        <v>11728</v>
      </c>
      <c r="O510" s="399"/>
      <c r="P510" s="19">
        <v>11000</v>
      </c>
      <c r="Q510" s="19">
        <v>728</v>
      </c>
      <c r="R510" s="12">
        <f>SUM(S510:U510)</f>
        <v>11728</v>
      </c>
      <c r="S510" s="19"/>
      <c r="T510" s="19">
        <v>11000</v>
      </c>
      <c r="U510" s="19">
        <v>728</v>
      </c>
      <c r="V510" s="43">
        <v>1182</v>
      </c>
      <c r="W510" s="17">
        <f t="shared" si="329"/>
        <v>500</v>
      </c>
      <c r="X510" s="407">
        <v>500</v>
      </c>
      <c r="Y510" s="407"/>
      <c r="Z510" s="407"/>
      <c r="AA510" s="407"/>
      <c r="AB510" s="555" t="s">
        <v>1308</v>
      </c>
      <c r="AC510" s="380">
        <f t="shared" si="309"/>
        <v>0</v>
      </c>
      <c r="AJ510" s="231" t="s">
        <v>1308</v>
      </c>
    </row>
    <row r="511" spans="1:36" s="231" customFormat="1" ht="76.5" customHeight="1">
      <c r="A511" s="103" t="s">
        <v>144</v>
      </c>
      <c r="B511" s="27" t="s">
        <v>606</v>
      </c>
      <c r="C511" s="101" t="s">
        <v>583</v>
      </c>
      <c r="D511" s="13">
        <v>8029542</v>
      </c>
      <c r="E511" s="433"/>
      <c r="F511" s="13" t="s">
        <v>659</v>
      </c>
      <c r="G511" s="433" t="s">
        <v>186</v>
      </c>
      <c r="H511" s="13" t="s">
        <v>607</v>
      </c>
      <c r="I511" s="13" t="s">
        <v>608</v>
      </c>
      <c r="J511" s="12">
        <f>SUM(K511:M511)</f>
        <v>5992</v>
      </c>
      <c r="K511" s="399">
        <v>3000</v>
      </c>
      <c r="L511" s="407"/>
      <c r="M511" s="399">
        <v>2992</v>
      </c>
      <c r="N511" s="12">
        <f>SUM(O511:Q511)</f>
        <v>5827</v>
      </c>
      <c r="O511" s="399">
        <v>3000</v>
      </c>
      <c r="P511" s="19"/>
      <c r="Q511" s="19">
        <v>2827</v>
      </c>
      <c r="R511" s="12">
        <f>SUM(S511:U511)</f>
        <v>5700</v>
      </c>
      <c r="S511" s="19">
        <v>3000</v>
      </c>
      <c r="T511" s="19"/>
      <c r="U511" s="19">
        <v>2700</v>
      </c>
      <c r="V511" s="43">
        <v>132</v>
      </c>
      <c r="W511" s="17">
        <f t="shared" si="329"/>
        <v>132</v>
      </c>
      <c r="X511" s="407"/>
      <c r="Y511" s="407"/>
      <c r="Z511" s="407">
        <v>132</v>
      </c>
      <c r="AA511" s="407"/>
      <c r="AB511" s="555" t="s">
        <v>1308</v>
      </c>
      <c r="AC511" s="380">
        <f t="shared" si="309"/>
        <v>0</v>
      </c>
      <c r="AJ511" s="231" t="s">
        <v>1308</v>
      </c>
    </row>
    <row r="512" spans="1:36" s="231" customFormat="1" ht="89.25" customHeight="1">
      <c r="A512" s="103" t="s">
        <v>144</v>
      </c>
      <c r="B512" s="27" t="s">
        <v>609</v>
      </c>
      <c r="C512" s="101" t="s">
        <v>583</v>
      </c>
      <c r="D512" s="13">
        <v>7043022</v>
      </c>
      <c r="E512" s="433"/>
      <c r="F512" s="13" t="s">
        <v>660</v>
      </c>
      <c r="G512" s="433" t="s">
        <v>186</v>
      </c>
      <c r="H512" s="13" t="s">
        <v>117</v>
      </c>
      <c r="I512" s="13" t="s">
        <v>610</v>
      </c>
      <c r="J512" s="43">
        <f>23214+M512</f>
        <v>34214</v>
      </c>
      <c r="K512" s="43"/>
      <c r="L512" s="43">
        <v>23214</v>
      </c>
      <c r="M512" s="43">
        <v>11000</v>
      </c>
      <c r="N512" s="12"/>
      <c r="O512" s="399"/>
      <c r="P512" s="399"/>
      <c r="Q512" s="399"/>
      <c r="R512" s="12">
        <f>SUM(S512:U512)</f>
        <v>9580</v>
      </c>
      <c r="S512" s="399"/>
      <c r="T512" s="399"/>
      <c r="U512" s="399">
        <f>16944-7364</f>
        <v>9580</v>
      </c>
      <c r="V512" s="43">
        <v>1420</v>
      </c>
      <c r="W512" s="17">
        <f t="shared" si="329"/>
        <v>1420</v>
      </c>
      <c r="X512" s="407"/>
      <c r="Y512" s="407"/>
      <c r="Z512" s="407">
        <v>1420</v>
      </c>
      <c r="AA512" s="407"/>
      <c r="AB512" s="555" t="s">
        <v>1308</v>
      </c>
      <c r="AC512" s="380">
        <f t="shared" si="309"/>
        <v>0</v>
      </c>
      <c r="AJ512" s="231" t="s">
        <v>1308</v>
      </c>
    </row>
    <row r="513" spans="1:36" s="231" customFormat="1" ht="93" customHeight="1">
      <c r="A513" s="103" t="s">
        <v>144</v>
      </c>
      <c r="B513" s="27" t="s">
        <v>1832</v>
      </c>
      <c r="C513" s="101" t="s">
        <v>583</v>
      </c>
      <c r="D513" s="13">
        <v>7896470</v>
      </c>
      <c r="E513" s="433"/>
      <c r="F513" s="13" t="s">
        <v>611</v>
      </c>
      <c r="G513" s="433" t="s">
        <v>186</v>
      </c>
      <c r="H513" s="13" t="s">
        <v>607</v>
      </c>
      <c r="I513" s="13" t="s">
        <v>612</v>
      </c>
      <c r="J513" s="12">
        <f>SUM(K513:M513)</f>
        <v>5971</v>
      </c>
      <c r="K513" s="399"/>
      <c r="L513" s="407"/>
      <c r="M513" s="399">
        <v>5971</v>
      </c>
      <c r="N513" s="12">
        <f>SUM(O513:Q513)</f>
        <v>5445</v>
      </c>
      <c r="O513" s="399"/>
      <c r="P513" s="399"/>
      <c r="Q513" s="399">
        <v>5445</v>
      </c>
      <c r="R513" s="12">
        <f>SUM(S513:U513)</f>
        <v>5212</v>
      </c>
      <c r="S513" s="399"/>
      <c r="T513" s="399"/>
      <c r="U513" s="399">
        <v>5212</v>
      </c>
      <c r="V513" s="665">
        <v>235</v>
      </c>
      <c r="W513" s="17">
        <f t="shared" si="329"/>
        <v>235</v>
      </c>
      <c r="X513" s="407"/>
      <c r="Y513" s="407"/>
      <c r="Z513" s="407">
        <v>235</v>
      </c>
      <c r="AA513" s="407"/>
      <c r="AB513" s="555" t="s">
        <v>1308</v>
      </c>
      <c r="AC513" s="380">
        <f t="shared" si="309"/>
        <v>0</v>
      </c>
      <c r="AJ513" s="231" t="s">
        <v>1308</v>
      </c>
    </row>
    <row r="514" spans="1:36" s="231" customFormat="1" ht="93" customHeight="1">
      <c r="A514" s="103" t="s">
        <v>144</v>
      </c>
      <c r="B514" s="43" t="s">
        <v>613</v>
      </c>
      <c r="C514" s="101" t="s">
        <v>583</v>
      </c>
      <c r="D514" s="26">
        <v>8080456</v>
      </c>
      <c r="E514" s="317"/>
      <c r="F514" s="21" t="s">
        <v>236</v>
      </c>
      <c r="G514" s="21" t="s">
        <v>552</v>
      </c>
      <c r="H514" s="20" t="s">
        <v>207</v>
      </c>
      <c r="I514" s="21" t="s">
        <v>614</v>
      </c>
      <c r="J514" s="19">
        <v>6999</v>
      </c>
      <c r="K514" s="666"/>
      <c r="L514" s="429"/>
      <c r="M514" s="19">
        <v>6999</v>
      </c>
      <c r="N514" s="19">
        <v>1886</v>
      </c>
      <c r="O514" s="429"/>
      <c r="P514" s="429"/>
      <c r="Q514" s="19">
        <v>1886</v>
      </c>
      <c r="R514" s="19">
        <v>2000</v>
      </c>
      <c r="S514" s="429"/>
      <c r="T514" s="429"/>
      <c r="U514" s="19">
        <v>2000</v>
      </c>
      <c r="V514" s="19">
        <v>114</v>
      </c>
      <c r="W514" s="17">
        <f t="shared" si="329"/>
        <v>114</v>
      </c>
      <c r="X514" s="19"/>
      <c r="Y514" s="19"/>
      <c r="Z514" s="19">
        <v>114</v>
      </c>
      <c r="AA514" s="19"/>
      <c r="AB514" s="94" t="s">
        <v>1308</v>
      </c>
      <c r="AC514" s="380">
        <f t="shared" si="309"/>
        <v>0</v>
      </c>
      <c r="AJ514" s="231" t="s">
        <v>1308</v>
      </c>
    </row>
    <row r="515" spans="1:36" s="10" customFormat="1" ht="42.75" customHeight="1">
      <c r="A515" s="397" t="s">
        <v>467</v>
      </c>
      <c r="B515" s="400" t="s">
        <v>183</v>
      </c>
      <c r="C515" s="101" t="s">
        <v>583</v>
      </c>
      <c r="D515" s="328"/>
      <c r="E515" s="400"/>
      <c r="F515" s="328"/>
      <c r="G515" s="328"/>
      <c r="H515" s="328"/>
      <c r="I515" s="328"/>
      <c r="J515" s="331">
        <f t="shared" ref="J515:AA515" si="330">+SUM(J516:J522)</f>
        <v>127081</v>
      </c>
      <c r="K515" s="331">
        <f t="shared" si="330"/>
        <v>0</v>
      </c>
      <c r="L515" s="331">
        <f t="shared" si="330"/>
        <v>0</v>
      </c>
      <c r="M515" s="331">
        <f t="shared" si="330"/>
        <v>127081</v>
      </c>
      <c r="N515" s="331">
        <f t="shared" si="330"/>
        <v>87269</v>
      </c>
      <c r="O515" s="331">
        <f t="shared" si="330"/>
        <v>0</v>
      </c>
      <c r="P515" s="331">
        <f t="shared" si="330"/>
        <v>0</v>
      </c>
      <c r="Q515" s="331">
        <f t="shared" si="330"/>
        <v>87269</v>
      </c>
      <c r="R515" s="331">
        <f t="shared" si="330"/>
        <v>90824</v>
      </c>
      <c r="S515" s="331">
        <f t="shared" si="330"/>
        <v>0</v>
      </c>
      <c r="T515" s="331">
        <f t="shared" si="330"/>
        <v>0</v>
      </c>
      <c r="U515" s="331">
        <f t="shared" si="330"/>
        <v>90824</v>
      </c>
      <c r="V515" s="331">
        <f t="shared" si="330"/>
        <v>32045.7</v>
      </c>
      <c r="W515" s="331">
        <f>+SUM(W516:W522)</f>
        <v>21750</v>
      </c>
      <c r="X515" s="331">
        <f t="shared" si="330"/>
        <v>0</v>
      </c>
      <c r="Y515" s="331">
        <f t="shared" si="330"/>
        <v>20000</v>
      </c>
      <c r="Z515" s="331">
        <f t="shared" si="330"/>
        <v>1750</v>
      </c>
      <c r="AA515" s="331">
        <f t="shared" si="330"/>
        <v>0</v>
      </c>
      <c r="AB515" s="330"/>
      <c r="AC515" s="380">
        <f t="shared" si="309"/>
        <v>0</v>
      </c>
    </row>
    <row r="516" spans="1:36" s="501" customFormat="1" ht="52.5" customHeight="1">
      <c r="A516" s="103" t="s">
        <v>144</v>
      </c>
      <c r="B516" s="15" t="s">
        <v>584</v>
      </c>
      <c r="C516" s="101" t="s">
        <v>583</v>
      </c>
      <c r="D516" s="26" t="s">
        <v>585</v>
      </c>
      <c r="E516" s="317"/>
      <c r="F516" s="21" t="s">
        <v>206</v>
      </c>
      <c r="G516" s="21" t="s">
        <v>186</v>
      </c>
      <c r="H516" s="20"/>
      <c r="I516" s="21" t="s">
        <v>586</v>
      </c>
      <c r="J516" s="19">
        <v>10989</v>
      </c>
      <c r="K516" s="17"/>
      <c r="L516" s="429"/>
      <c r="M516" s="19">
        <v>10989</v>
      </c>
      <c r="N516" s="19">
        <v>8970</v>
      </c>
      <c r="O516" s="429"/>
      <c r="P516" s="429"/>
      <c r="Q516" s="19">
        <v>8970</v>
      </c>
      <c r="R516" s="19">
        <v>9639</v>
      </c>
      <c r="S516" s="429"/>
      <c r="T516" s="429"/>
      <c r="U516" s="19">
        <v>9639</v>
      </c>
      <c r="V516" s="19">
        <v>669</v>
      </c>
      <c r="W516" s="19">
        <f>SUM(X516:AA516)</f>
        <v>500</v>
      </c>
      <c r="X516" s="19"/>
      <c r="Y516" s="19"/>
      <c r="Z516" s="19">
        <v>500</v>
      </c>
      <c r="AA516" s="19"/>
      <c r="AB516" s="21" t="s">
        <v>1622</v>
      </c>
      <c r="AC516" s="380">
        <f t="shared" si="309"/>
        <v>0</v>
      </c>
      <c r="AJ516" s="8" t="s">
        <v>685</v>
      </c>
    </row>
    <row r="517" spans="1:36" s="501" customFormat="1" ht="64.5" customHeight="1">
      <c r="A517" s="103" t="s">
        <v>144</v>
      </c>
      <c r="B517" s="15" t="s">
        <v>587</v>
      </c>
      <c r="C517" s="101" t="s">
        <v>583</v>
      </c>
      <c r="D517" s="19"/>
      <c r="E517" s="317"/>
      <c r="F517" s="21" t="s">
        <v>236</v>
      </c>
      <c r="G517" s="21" t="s">
        <v>186</v>
      </c>
      <c r="H517" s="20" t="s">
        <v>73</v>
      </c>
      <c r="I517" s="21" t="s">
        <v>588</v>
      </c>
      <c r="J517" s="19">
        <v>3738</v>
      </c>
      <c r="K517" s="17"/>
      <c r="L517" s="429"/>
      <c r="M517" s="19">
        <v>3738</v>
      </c>
      <c r="N517" s="19">
        <v>358</v>
      </c>
      <c r="O517" s="429"/>
      <c r="P517" s="429"/>
      <c r="Q517" s="19">
        <v>358</v>
      </c>
      <c r="R517" s="19">
        <v>500</v>
      </c>
      <c r="S517" s="429"/>
      <c r="T517" s="429"/>
      <c r="U517" s="19">
        <v>500</v>
      </c>
      <c r="V517" s="19">
        <v>1209.6999999999998</v>
      </c>
      <c r="W517" s="19">
        <f t="shared" ref="W517:W522" si="331">SUM(X517:AA517)</f>
        <v>400</v>
      </c>
      <c r="X517" s="19"/>
      <c r="Y517" s="19"/>
      <c r="Z517" s="19">
        <v>400</v>
      </c>
      <c r="AA517" s="19"/>
      <c r="AB517" s="349" t="s">
        <v>1622</v>
      </c>
      <c r="AC517" s="380">
        <f t="shared" si="309"/>
        <v>0</v>
      </c>
      <c r="AJ517" s="8" t="s">
        <v>685</v>
      </c>
    </row>
    <row r="518" spans="1:36" s="501" customFormat="1" ht="64.5" customHeight="1">
      <c r="A518" s="103" t="s">
        <v>144</v>
      </c>
      <c r="B518" s="15" t="s">
        <v>589</v>
      </c>
      <c r="C518" s="101" t="s">
        <v>583</v>
      </c>
      <c r="D518" s="26">
        <v>7891873</v>
      </c>
      <c r="E518" s="317"/>
      <c r="F518" s="21" t="s">
        <v>597</v>
      </c>
      <c r="G518" s="21" t="s">
        <v>186</v>
      </c>
      <c r="H518" s="20" t="s">
        <v>590</v>
      </c>
      <c r="I518" s="21" t="s">
        <v>591</v>
      </c>
      <c r="J518" s="19">
        <v>14990</v>
      </c>
      <c r="K518" s="17"/>
      <c r="L518" s="429"/>
      <c r="M518" s="19">
        <v>14990</v>
      </c>
      <c r="N518" s="19">
        <v>11702</v>
      </c>
      <c r="O518" s="429"/>
      <c r="P518" s="429"/>
      <c r="Q518" s="19">
        <v>11702</v>
      </c>
      <c r="R518" s="19">
        <v>11702</v>
      </c>
      <c r="S518" s="429"/>
      <c r="T518" s="429"/>
      <c r="U518" s="19">
        <v>11702</v>
      </c>
      <c r="V518" s="19">
        <v>3288</v>
      </c>
      <c r="W518" s="19">
        <f t="shared" si="331"/>
        <v>2000</v>
      </c>
      <c r="X518" s="19"/>
      <c r="Y518" s="19">
        <v>2000</v>
      </c>
      <c r="Z518" s="19"/>
      <c r="AA518" s="19"/>
      <c r="AB518" s="21" t="s">
        <v>1622</v>
      </c>
      <c r="AC518" s="380">
        <f t="shared" si="309"/>
        <v>0</v>
      </c>
      <c r="AJ518" s="8" t="s">
        <v>685</v>
      </c>
    </row>
    <row r="519" spans="1:36" s="501" customFormat="1" ht="52.5" customHeight="1">
      <c r="A519" s="103" t="s">
        <v>144</v>
      </c>
      <c r="B519" s="15" t="s">
        <v>592</v>
      </c>
      <c r="C519" s="101" t="s">
        <v>583</v>
      </c>
      <c r="D519" s="26">
        <v>7929609</v>
      </c>
      <c r="E519" s="317"/>
      <c r="F519" s="21" t="s">
        <v>309</v>
      </c>
      <c r="G519" s="21" t="s">
        <v>186</v>
      </c>
      <c r="H519" s="20" t="s">
        <v>41</v>
      </c>
      <c r="I519" s="21" t="s">
        <v>593</v>
      </c>
      <c r="J519" s="19">
        <v>14895</v>
      </c>
      <c r="K519" s="17"/>
      <c r="L519" s="429"/>
      <c r="M519" s="19">
        <v>14895</v>
      </c>
      <c r="N519" s="19">
        <v>12183</v>
      </c>
      <c r="O519" s="429"/>
      <c r="P519" s="429"/>
      <c r="Q519" s="19">
        <v>12183</v>
      </c>
      <c r="R519" s="19">
        <v>12183</v>
      </c>
      <c r="S519" s="429"/>
      <c r="T519" s="429"/>
      <c r="U519" s="19">
        <v>12183</v>
      </c>
      <c r="V519" s="19">
        <v>450</v>
      </c>
      <c r="W519" s="19">
        <f t="shared" si="331"/>
        <v>450</v>
      </c>
      <c r="X519" s="19"/>
      <c r="Y519" s="19"/>
      <c r="Z519" s="19">
        <v>450</v>
      </c>
      <c r="AA519" s="19"/>
      <c r="AB519" s="21" t="s">
        <v>1622</v>
      </c>
      <c r="AC519" s="380">
        <f t="shared" si="309"/>
        <v>0</v>
      </c>
      <c r="AJ519" s="8" t="s">
        <v>685</v>
      </c>
    </row>
    <row r="520" spans="1:36" s="501" customFormat="1" ht="52.5" customHeight="1">
      <c r="A520" s="103" t="s">
        <v>144</v>
      </c>
      <c r="B520" s="15" t="s">
        <v>594</v>
      </c>
      <c r="C520" s="101" t="s">
        <v>583</v>
      </c>
      <c r="D520" s="26">
        <v>8097733</v>
      </c>
      <c r="E520" s="317"/>
      <c r="F520" s="21" t="s">
        <v>659</v>
      </c>
      <c r="G520" s="21" t="s">
        <v>186</v>
      </c>
      <c r="H520" s="535" t="s">
        <v>244</v>
      </c>
      <c r="I520" s="21" t="s">
        <v>595</v>
      </c>
      <c r="J520" s="19">
        <v>8890</v>
      </c>
      <c r="K520" s="17"/>
      <c r="L520" s="429"/>
      <c r="M520" s="19">
        <v>8890</v>
      </c>
      <c r="N520" s="19">
        <v>6506</v>
      </c>
      <c r="O520" s="429"/>
      <c r="P520" s="429"/>
      <c r="Q520" s="19">
        <v>6506</v>
      </c>
      <c r="R520" s="19">
        <v>8000</v>
      </c>
      <c r="S520" s="429"/>
      <c r="T520" s="429"/>
      <c r="U520" s="19">
        <v>8000</v>
      </c>
      <c r="V520" s="19">
        <v>400</v>
      </c>
      <c r="W520" s="19">
        <f t="shared" si="331"/>
        <v>400</v>
      </c>
      <c r="X520" s="19"/>
      <c r="Y520" s="19"/>
      <c r="Z520" s="19">
        <v>400</v>
      </c>
      <c r="AA520" s="19"/>
      <c r="AB520" s="21" t="s">
        <v>1622</v>
      </c>
      <c r="AC520" s="380">
        <f t="shared" si="309"/>
        <v>0</v>
      </c>
      <c r="AJ520" s="8" t="s">
        <v>685</v>
      </c>
    </row>
    <row r="521" spans="1:36" s="501" customFormat="1" ht="52.5" customHeight="1">
      <c r="A521" s="103" t="s">
        <v>144</v>
      </c>
      <c r="B521" s="15" t="s">
        <v>596</v>
      </c>
      <c r="C521" s="101" t="s">
        <v>583</v>
      </c>
      <c r="D521" s="26">
        <v>8102076</v>
      </c>
      <c r="E521" s="317"/>
      <c r="F521" s="21" t="s">
        <v>661</v>
      </c>
      <c r="G521" s="21" t="s">
        <v>186</v>
      </c>
      <c r="H521" s="20" t="s">
        <v>53</v>
      </c>
      <c r="I521" s="21" t="s">
        <v>598</v>
      </c>
      <c r="J521" s="19">
        <v>37100</v>
      </c>
      <c r="K521" s="17"/>
      <c r="L521" s="429"/>
      <c r="M521" s="19">
        <v>37100</v>
      </c>
      <c r="N521" s="19">
        <v>26750</v>
      </c>
      <c r="O521" s="429"/>
      <c r="P521" s="429"/>
      <c r="Q521" s="19">
        <v>26750</v>
      </c>
      <c r="R521" s="19">
        <v>28000</v>
      </c>
      <c r="S521" s="429"/>
      <c r="T521" s="429"/>
      <c r="U521" s="19">
        <v>28000</v>
      </c>
      <c r="V521" s="19">
        <v>10350</v>
      </c>
      <c r="W521" s="19">
        <f t="shared" si="331"/>
        <v>6000</v>
      </c>
      <c r="X521" s="19"/>
      <c r="Y521" s="19">
        <v>6000</v>
      </c>
      <c r="Z521" s="19"/>
      <c r="AA521" s="19"/>
      <c r="AB521" s="108" t="s">
        <v>1639</v>
      </c>
      <c r="AC521" s="380">
        <f t="shared" si="309"/>
        <v>0</v>
      </c>
      <c r="AJ521" s="8" t="s">
        <v>685</v>
      </c>
    </row>
    <row r="522" spans="1:36" s="501" customFormat="1" ht="52.5" customHeight="1">
      <c r="A522" s="103" t="s">
        <v>144</v>
      </c>
      <c r="B522" s="15" t="s">
        <v>1833</v>
      </c>
      <c r="C522" s="101" t="s">
        <v>583</v>
      </c>
      <c r="D522" s="26">
        <v>8107500</v>
      </c>
      <c r="E522" s="317"/>
      <c r="F522" s="21" t="s">
        <v>251</v>
      </c>
      <c r="G522" s="21" t="s">
        <v>186</v>
      </c>
      <c r="H522" s="20" t="s">
        <v>53</v>
      </c>
      <c r="I522" s="21" t="s">
        <v>599</v>
      </c>
      <c r="J522" s="19">
        <v>36479</v>
      </c>
      <c r="K522" s="17"/>
      <c r="L522" s="429"/>
      <c r="M522" s="19">
        <v>36479</v>
      </c>
      <c r="N522" s="19">
        <f>20000+800</f>
        <v>20800</v>
      </c>
      <c r="O522" s="429"/>
      <c r="P522" s="429"/>
      <c r="Q522" s="19">
        <f>20000+800</f>
        <v>20800</v>
      </c>
      <c r="R522" s="19">
        <f>20000+800</f>
        <v>20800</v>
      </c>
      <c r="S522" s="429"/>
      <c r="T522" s="429"/>
      <c r="U522" s="19">
        <f>20000+800</f>
        <v>20800</v>
      </c>
      <c r="V522" s="19">
        <v>15679</v>
      </c>
      <c r="W522" s="19">
        <f t="shared" si="331"/>
        <v>12000</v>
      </c>
      <c r="X522" s="19"/>
      <c r="Y522" s="19">
        <v>12000</v>
      </c>
      <c r="Z522" s="19"/>
      <c r="AA522" s="19"/>
      <c r="AB522" s="108" t="s">
        <v>1639</v>
      </c>
      <c r="AC522" s="380">
        <f t="shared" si="309"/>
        <v>0</v>
      </c>
      <c r="AJ522" s="8" t="s">
        <v>685</v>
      </c>
    </row>
    <row r="523" spans="1:36" s="417" customFormat="1" ht="27.75" customHeight="1">
      <c r="A523" s="112" t="s">
        <v>1306</v>
      </c>
      <c r="B523" s="413" t="s">
        <v>1307</v>
      </c>
      <c r="C523" s="101" t="s">
        <v>583</v>
      </c>
      <c r="D523" s="447"/>
      <c r="E523" s="326"/>
      <c r="F523" s="471"/>
      <c r="G523" s="471"/>
      <c r="H523" s="473"/>
      <c r="I523" s="471"/>
      <c r="J523" s="416"/>
      <c r="K523" s="416"/>
      <c r="L523" s="416"/>
      <c r="M523" s="416"/>
      <c r="N523" s="416"/>
      <c r="O523" s="416"/>
      <c r="P523" s="416"/>
      <c r="Q523" s="416"/>
      <c r="R523" s="416"/>
      <c r="S523" s="416"/>
      <c r="T523" s="416"/>
      <c r="U523" s="416"/>
      <c r="V523" s="416"/>
      <c r="W523" s="416"/>
      <c r="X523" s="416"/>
      <c r="Y523" s="416"/>
      <c r="Z523" s="416"/>
      <c r="AA523" s="416"/>
      <c r="AB523" s="332"/>
      <c r="AC523" s="380">
        <f t="shared" si="309"/>
        <v>0</v>
      </c>
    </row>
    <row r="524" spans="1:36" s="8" customFormat="1" ht="41.25" customHeight="1">
      <c r="A524" s="426" t="s">
        <v>1357</v>
      </c>
      <c r="B524" s="317" t="s">
        <v>696</v>
      </c>
      <c r="C524" s="317" t="s">
        <v>696</v>
      </c>
      <c r="D524" s="13"/>
      <c r="E524" s="13"/>
      <c r="F524" s="37"/>
      <c r="G524" s="316"/>
      <c r="H524" s="13"/>
      <c r="I524" s="13"/>
      <c r="J524" s="630">
        <f t="shared" ref="J524:AA524" si="332">J525</f>
        <v>25000</v>
      </c>
      <c r="K524" s="630">
        <f t="shared" si="332"/>
        <v>0</v>
      </c>
      <c r="L524" s="630">
        <f t="shared" si="332"/>
        <v>0</v>
      </c>
      <c r="M524" s="630">
        <f t="shared" si="332"/>
        <v>25000</v>
      </c>
      <c r="N524" s="630">
        <f t="shared" si="332"/>
        <v>9000</v>
      </c>
      <c r="O524" s="630">
        <f t="shared" si="332"/>
        <v>0</v>
      </c>
      <c r="P524" s="630">
        <f t="shared" si="332"/>
        <v>0</v>
      </c>
      <c r="Q524" s="630">
        <f t="shared" si="332"/>
        <v>9000</v>
      </c>
      <c r="R524" s="630">
        <f t="shared" si="332"/>
        <v>12000</v>
      </c>
      <c r="S524" s="630">
        <f t="shared" si="332"/>
        <v>0</v>
      </c>
      <c r="T524" s="630">
        <f t="shared" si="332"/>
        <v>0</v>
      </c>
      <c r="U524" s="630">
        <f t="shared" si="332"/>
        <v>12000</v>
      </c>
      <c r="V524" s="630">
        <f t="shared" si="332"/>
        <v>12500</v>
      </c>
      <c r="W524" s="630">
        <f t="shared" si="332"/>
        <v>12500</v>
      </c>
      <c r="X524" s="630">
        <f t="shared" si="332"/>
        <v>0</v>
      </c>
      <c r="Y524" s="630">
        <f t="shared" si="332"/>
        <v>12500</v>
      </c>
      <c r="Z524" s="630">
        <f t="shared" si="332"/>
        <v>0</v>
      </c>
      <c r="AA524" s="630">
        <f t="shared" si="332"/>
        <v>0</v>
      </c>
      <c r="AB524" s="631"/>
      <c r="AC524" s="380">
        <f t="shared" si="309"/>
        <v>0</v>
      </c>
    </row>
    <row r="525" spans="1:36" s="422" customFormat="1" ht="30.75" customHeight="1">
      <c r="A525" s="393" t="s">
        <v>1370</v>
      </c>
      <c r="B525" s="394" t="s">
        <v>38</v>
      </c>
      <c r="C525" s="15" t="s">
        <v>696</v>
      </c>
      <c r="D525" s="421"/>
      <c r="E525" s="421"/>
      <c r="F525" s="632"/>
      <c r="G525" s="633"/>
      <c r="H525" s="421"/>
      <c r="I525" s="421"/>
      <c r="J525" s="634">
        <f t="shared" ref="J525:AA525" si="333">J527+J526+J530</f>
        <v>25000</v>
      </c>
      <c r="K525" s="634">
        <f t="shared" si="333"/>
        <v>0</v>
      </c>
      <c r="L525" s="634">
        <f t="shared" si="333"/>
        <v>0</v>
      </c>
      <c r="M525" s="634">
        <f t="shared" si="333"/>
        <v>25000</v>
      </c>
      <c r="N525" s="634">
        <f t="shared" si="333"/>
        <v>9000</v>
      </c>
      <c r="O525" s="634">
        <f t="shared" si="333"/>
        <v>0</v>
      </c>
      <c r="P525" s="634">
        <f t="shared" si="333"/>
        <v>0</v>
      </c>
      <c r="Q525" s="634">
        <f t="shared" si="333"/>
        <v>9000</v>
      </c>
      <c r="R525" s="634">
        <f t="shared" si="333"/>
        <v>12000</v>
      </c>
      <c r="S525" s="634">
        <f t="shared" si="333"/>
        <v>0</v>
      </c>
      <c r="T525" s="634">
        <f t="shared" si="333"/>
        <v>0</v>
      </c>
      <c r="U525" s="634">
        <f t="shared" si="333"/>
        <v>12000</v>
      </c>
      <c r="V525" s="634">
        <f t="shared" si="333"/>
        <v>12500</v>
      </c>
      <c r="W525" s="634">
        <f t="shared" si="333"/>
        <v>12500</v>
      </c>
      <c r="X525" s="634">
        <f t="shared" si="333"/>
        <v>0</v>
      </c>
      <c r="Y525" s="634">
        <f t="shared" si="333"/>
        <v>12500</v>
      </c>
      <c r="Z525" s="634">
        <f t="shared" si="333"/>
        <v>0</v>
      </c>
      <c r="AA525" s="634">
        <f t="shared" si="333"/>
        <v>0</v>
      </c>
      <c r="AB525" s="635"/>
      <c r="AC525" s="380">
        <f t="shared" si="309"/>
        <v>0</v>
      </c>
    </row>
    <row r="526" spans="1:36" s="10" customFormat="1" ht="39.75" customHeight="1">
      <c r="A526" s="332" t="s">
        <v>39</v>
      </c>
      <c r="B526" s="326" t="s">
        <v>1254</v>
      </c>
      <c r="C526" s="15" t="s">
        <v>696</v>
      </c>
      <c r="D526" s="554"/>
      <c r="E526" s="332"/>
      <c r="F526" s="471"/>
      <c r="G526" s="471"/>
      <c r="H526" s="332"/>
      <c r="I526" s="471"/>
      <c r="J526" s="331"/>
      <c r="K526" s="331"/>
      <c r="L526" s="331"/>
      <c r="M526" s="331"/>
      <c r="N526" s="331"/>
      <c r="O526" s="331"/>
      <c r="P526" s="331"/>
      <c r="Q526" s="331"/>
      <c r="R526" s="331"/>
      <c r="S526" s="331"/>
      <c r="T526" s="331"/>
      <c r="U526" s="331"/>
      <c r="V526" s="331"/>
      <c r="W526" s="331"/>
      <c r="X526" s="331"/>
      <c r="Y526" s="331"/>
      <c r="Z526" s="331"/>
      <c r="AA526" s="331"/>
      <c r="AB526" s="332"/>
      <c r="AC526" s="380">
        <f t="shared" si="309"/>
        <v>0</v>
      </c>
    </row>
    <row r="527" spans="1:36" s="10" customFormat="1" ht="53.25" customHeight="1">
      <c r="A527" s="397" t="s">
        <v>467</v>
      </c>
      <c r="B527" s="400" t="s">
        <v>56</v>
      </c>
      <c r="C527" s="15" t="s">
        <v>696</v>
      </c>
      <c r="D527" s="328"/>
      <c r="E527" s="328"/>
      <c r="F527" s="614"/>
      <c r="G527" s="448"/>
      <c r="H527" s="328"/>
      <c r="I527" s="328"/>
      <c r="J527" s="637">
        <f t="shared" ref="J527:AA527" si="334">SUM(J528:J529)</f>
        <v>25000</v>
      </c>
      <c r="K527" s="637">
        <f t="shared" si="334"/>
        <v>0</v>
      </c>
      <c r="L527" s="637">
        <f t="shared" si="334"/>
        <v>0</v>
      </c>
      <c r="M527" s="637">
        <f t="shared" si="334"/>
        <v>25000</v>
      </c>
      <c r="N527" s="637">
        <f t="shared" si="334"/>
        <v>9000</v>
      </c>
      <c r="O527" s="637">
        <f t="shared" si="334"/>
        <v>0</v>
      </c>
      <c r="P527" s="637">
        <f t="shared" si="334"/>
        <v>0</v>
      </c>
      <c r="Q527" s="637">
        <f t="shared" si="334"/>
        <v>9000</v>
      </c>
      <c r="R527" s="637">
        <f t="shared" si="334"/>
        <v>12000</v>
      </c>
      <c r="S527" s="637">
        <f t="shared" si="334"/>
        <v>0</v>
      </c>
      <c r="T527" s="637">
        <f t="shared" si="334"/>
        <v>0</v>
      </c>
      <c r="U527" s="637">
        <f t="shared" si="334"/>
        <v>12000</v>
      </c>
      <c r="V527" s="637">
        <f t="shared" si="334"/>
        <v>12500</v>
      </c>
      <c r="W527" s="637">
        <f t="shared" si="334"/>
        <v>12500</v>
      </c>
      <c r="X527" s="637">
        <f t="shared" si="334"/>
        <v>0</v>
      </c>
      <c r="Y527" s="637">
        <f t="shared" si="334"/>
        <v>12500</v>
      </c>
      <c r="Z527" s="637">
        <f t="shared" si="334"/>
        <v>0</v>
      </c>
      <c r="AA527" s="637">
        <f t="shared" si="334"/>
        <v>0</v>
      </c>
      <c r="AB527" s="638"/>
      <c r="AC527" s="380">
        <f t="shared" si="309"/>
        <v>0</v>
      </c>
    </row>
    <row r="528" spans="1:36" s="8" customFormat="1" ht="60.75" customHeight="1">
      <c r="A528" s="430" t="s">
        <v>144</v>
      </c>
      <c r="B528" s="25" t="s">
        <v>697</v>
      </c>
      <c r="C528" s="15" t="s">
        <v>696</v>
      </c>
      <c r="D528" s="32" t="s">
        <v>1653</v>
      </c>
      <c r="E528" s="316"/>
      <c r="F528" s="37" t="s">
        <v>698</v>
      </c>
      <c r="G528" s="316"/>
      <c r="H528" s="13" t="s">
        <v>187</v>
      </c>
      <c r="I528" s="13" t="s">
        <v>699</v>
      </c>
      <c r="J528" s="38">
        <v>12500</v>
      </c>
      <c r="K528" s="38"/>
      <c r="L528" s="12"/>
      <c r="M528" s="16">
        <v>12500</v>
      </c>
      <c r="N528" s="12">
        <v>5000</v>
      </c>
      <c r="O528" s="12"/>
      <c r="P528" s="12"/>
      <c r="Q528" s="12">
        <v>5000</v>
      </c>
      <c r="R528" s="12">
        <v>8000</v>
      </c>
      <c r="S528" s="12"/>
      <c r="T528" s="12"/>
      <c r="U528" s="12">
        <v>8000</v>
      </c>
      <c r="V528" s="12">
        <v>4500</v>
      </c>
      <c r="W528" s="12">
        <f>SUM(X528:AA528)</f>
        <v>4500</v>
      </c>
      <c r="X528" s="12"/>
      <c r="Y528" s="12">
        <v>4500</v>
      </c>
      <c r="Z528" s="12"/>
      <c r="AA528" s="12"/>
      <c r="AB528" s="21" t="s">
        <v>1622</v>
      </c>
      <c r="AC528" s="380">
        <f t="shared" si="309"/>
        <v>0</v>
      </c>
      <c r="AJ528" s="8" t="s">
        <v>685</v>
      </c>
    </row>
    <row r="529" spans="1:36" s="8" customFormat="1" ht="70.5" customHeight="1">
      <c r="A529" s="430" t="s">
        <v>144</v>
      </c>
      <c r="B529" s="544" t="s">
        <v>700</v>
      </c>
      <c r="C529" s="15" t="s">
        <v>696</v>
      </c>
      <c r="D529" s="316" t="s">
        <v>701</v>
      </c>
      <c r="E529" s="316"/>
      <c r="F529" s="37" t="s">
        <v>702</v>
      </c>
      <c r="G529" s="316"/>
      <c r="H529" s="13" t="s">
        <v>187</v>
      </c>
      <c r="I529" s="13" t="s">
        <v>703</v>
      </c>
      <c r="J529" s="38">
        <v>12500</v>
      </c>
      <c r="K529" s="38"/>
      <c r="L529" s="12"/>
      <c r="M529" s="16">
        <v>12500</v>
      </c>
      <c r="N529" s="12">
        <v>4000</v>
      </c>
      <c r="O529" s="12"/>
      <c r="P529" s="12"/>
      <c r="Q529" s="12">
        <v>4000</v>
      </c>
      <c r="R529" s="12">
        <v>4000</v>
      </c>
      <c r="S529" s="12"/>
      <c r="T529" s="12"/>
      <c r="U529" s="12">
        <v>4000</v>
      </c>
      <c r="V529" s="12">
        <v>8000</v>
      </c>
      <c r="W529" s="12">
        <f>SUM(X529:AA529)</f>
        <v>8000</v>
      </c>
      <c r="X529" s="12"/>
      <c r="Y529" s="12">
        <v>8000</v>
      </c>
      <c r="Z529" s="12"/>
      <c r="AA529" s="12"/>
      <c r="AB529" s="21" t="s">
        <v>1622</v>
      </c>
      <c r="AC529" s="380">
        <f t="shared" si="309"/>
        <v>0</v>
      </c>
      <c r="AJ529" s="8" t="s">
        <v>685</v>
      </c>
    </row>
    <row r="530" spans="1:36" s="10" customFormat="1" ht="18.75" customHeight="1">
      <c r="A530" s="398" t="s">
        <v>1306</v>
      </c>
      <c r="B530" s="413" t="s">
        <v>1307</v>
      </c>
      <c r="C530" s="15" t="s">
        <v>696</v>
      </c>
      <c r="D530" s="328"/>
      <c r="E530" s="328"/>
      <c r="F530" s="614"/>
      <c r="G530" s="448"/>
      <c r="H530" s="328"/>
      <c r="I530" s="328"/>
      <c r="J530" s="637"/>
      <c r="K530" s="637"/>
      <c r="L530" s="637"/>
      <c r="M530" s="637"/>
      <c r="N530" s="637"/>
      <c r="O530" s="637"/>
      <c r="P530" s="637"/>
      <c r="Q530" s="637"/>
      <c r="R530" s="637"/>
      <c r="S530" s="637"/>
      <c r="T530" s="637"/>
      <c r="U530" s="637"/>
      <c r="V530" s="637"/>
      <c r="W530" s="637"/>
      <c r="X530" s="637"/>
      <c r="Y530" s="637"/>
      <c r="Z530" s="637"/>
      <c r="AA530" s="637"/>
      <c r="AB530" s="638"/>
      <c r="AC530" s="380">
        <f t="shared" si="309"/>
        <v>0</v>
      </c>
    </row>
    <row r="531" spans="1:36" s="231" customFormat="1" ht="40.5" customHeight="1">
      <c r="A531" s="426" t="s">
        <v>1358</v>
      </c>
      <c r="B531" s="312" t="s">
        <v>704</v>
      </c>
      <c r="C531" s="312" t="s">
        <v>704</v>
      </c>
      <c r="D531" s="320"/>
      <c r="E531" s="320"/>
      <c r="F531" s="628"/>
      <c r="G531" s="629"/>
      <c r="H531" s="320"/>
      <c r="I531" s="320"/>
      <c r="J531" s="630">
        <f t="shared" ref="J531:AA531" si="335">J532</f>
        <v>7145.88</v>
      </c>
      <c r="K531" s="630">
        <f t="shared" si="335"/>
        <v>0</v>
      </c>
      <c r="L531" s="630">
        <f t="shared" si="335"/>
        <v>0</v>
      </c>
      <c r="M531" s="630">
        <f t="shared" si="335"/>
        <v>7145.88</v>
      </c>
      <c r="N531" s="630">
        <f t="shared" si="335"/>
        <v>4000</v>
      </c>
      <c r="O531" s="630">
        <f t="shared" si="335"/>
        <v>0</v>
      </c>
      <c r="P531" s="630">
        <f t="shared" si="335"/>
        <v>0</v>
      </c>
      <c r="Q531" s="630">
        <f t="shared" si="335"/>
        <v>4000</v>
      </c>
      <c r="R531" s="630">
        <f t="shared" si="335"/>
        <v>4000</v>
      </c>
      <c r="S531" s="630">
        <f t="shared" si="335"/>
        <v>0</v>
      </c>
      <c r="T531" s="630">
        <f t="shared" si="335"/>
        <v>0</v>
      </c>
      <c r="U531" s="630">
        <f t="shared" si="335"/>
        <v>4000</v>
      </c>
      <c r="V531" s="630">
        <f t="shared" si="335"/>
        <v>3145.88</v>
      </c>
      <c r="W531" s="630">
        <f t="shared" si="335"/>
        <v>3100</v>
      </c>
      <c r="X531" s="630">
        <f t="shared" si="335"/>
        <v>0</v>
      </c>
      <c r="Y531" s="630">
        <f t="shared" si="335"/>
        <v>3100</v>
      </c>
      <c r="Z531" s="630">
        <f t="shared" si="335"/>
        <v>0</v>
      </c>
      <c r="AA531" s="630">
        <f t="shared" si="335"/>
        <v>0</v>
      </c>
      <c r="AB531" s="631"/>
      <c r="AC531" s="380">
        <f t="shared" si="309"/>
        <v>0</v>
      </c>
    </row>
    <row r="532" spans="1:36" s="10" customFormat="1" ht="32.25" customHeight="1">
      <c r="A532" s="495" t="s">
        <v>1359</v>
      </c>
      <c r="B532" s="617" t="s">
        <v>38</v>
      </c>
      <c r="C532" s="42" t="s">
        <v>704</v>
      </c>
      <c r="D532" s="328"/>
      <c r="E532" s="328"/>
      <c r="F532" s="614"/>
      <c r="G532" s="448"/>
      <c r="H532" s="328"/>
      <c r="I532" s="328"/>
      <c r="J532" s="634">
        <f t="shared" ref="J532:AA532" si="336">J534+J533+J536</f>
        <v>7145.88</v>
      </c>
      <c r="K532" s="634">
        <f t="shared" si="336"/>
        <v>0</v>
      </c>
      <c r="L532" s="634">
        <f t="shared" si="336"/>
        <v>0</v>
      </c>
      <c r="M532" s="634">
        <f t="shared" si="336"/>
        <v>7145.88</v>
      </c>
      <c r="N532" s="634">
        <f t="shared" si="336"/>
        <v>4000</v>
      </c>
      <c r="O532" s="634">
        <f t="shared" si="336"/>
        <v>0</v>
      </c>
      <c r="P532" s="634">
        <f t="shared" si="336"/>
        <v>0</v>
      </c>
      <c r="Q532" s="634">
        <f t="shared" si="336"/>
        <v>4000</v>
      </c>
      <c r="R532" s="634">
        <f t="shared" si="336"/>
        <v>4000</v>
      </c>
      <c r="S532" s="634">
        <f t="shared" si="336"/>
        <v>0</v>
      </c>
      <c r="T532" s="634">
        <f t="shared" si="336"/>
        <v>0</v>
      </c>
      <c r="U532" s="634">
        <f t="shared" si="336"/>
        <v>4000</v>
      </c>
      <c r="V532" s="634">
        <f t="shared" si="336"/>
        <v>3145.88</v>
      </c>
      <c r="W532" s="634">
        <f t="shared" si="336"/>
        <v>3100</v>
      </c>
      <c r="X532" s="634">
        <f t="shared" si="336"/>
        <v>0</v>
      </c>
      <c r="Y532" s="634">
        <f t="shared" si="336"/>
        <v>3100</v>
      </c>
      <c r="Z532" s="634">
        <f t="shared" si="336"/>
        <v>0</v>
      </c>
      <c r="AA532" s="634">
        <f t="shared" si="336"/>
        <v>0</v>
      </c>
      <c r="AB532" s="635"/>
      <c r="AC532" s="380">
        <f t="shared" si="309"/>
        <v>0</v>
      </c>
    </row>
    <row r="533" spans="1:36" s="10" customFormat="1" ht="39.75" customHeight="1">
      <c r="A533" s="332" t="s">
        <v>39</v>
      </c>
      <c r="B533" s="326" t="s">
        <v>1254</v>
      </c>
      <c r="C533" s="42" t="s">
        <v>704</v>
      </c>
      <c r="D533" s="554"/>
      <c r="E533" s="332"/>
      <c r="F533" s="471"/>
      <c r="G533" s="471"/>
      <c r="H533" s="332"/>
      <c r="I533" s="471"/>
      <c r="J533" s="331"/>
      <c r="K533" s="331"/>
      <c r="L533" s="331"/>
      <c r="M533" s="331"/>
      <c r="N533" s="331"/>
      <c r="O533" s="331"/>
      <c r="P533" s="331"/>
      <c r="Q533" s="331"/>
      <c r="R533" s="331"/>
      <c r="S533" s="331"/>
      <c r="T533" s="331"/>
      <c r="U533" s="331"/>
      <c r="V533" s="331"/>
      <c r="W533" s="331"/>
      <c r="X533" s="331"/>
      <c r="Y533" s="331"/>
      <c r="Z533" s="331"/>
      <c r="AA533" s="331"/>
      <c r="AB533" s="332"/>
      <c r="AC533" s="380">
        <f t="shared" si="309"/>
        <v>0</v>
      </c>
    </row>
    <row r="534" spans="1:36" s="10" customFormat="1" ht="51" customHeight="1">
      <c r="A534" s="398" t="s">
        <v>467</v>
      </c>
      <c r="B534" s="620" t="s">
        <v>56</v>
      </c>
      <c r="C534" s="42" t="s">
        <v>704</v>
      </c>
      <c r="D534" s="328"/>
      <c r="E534" s="328"/>
      <c r="F534" s="614"/>
      <c r="G534" s="448"/>
      <c r="H534" s="328"/>
      <c r="I534" s="328"/>
      <c r="J534" s="637">
        <f t="shared" ref="J534:AA534" si="337">SUM(J535)</f>
        <v>7145.88</v>
      </c>
      <c r="K534" s="637">
        <f t="shared" si="337"/>
        <v>0</v>
      </c>
      <c r="L534" s="637">
        <f t="shared" si="337"/>
        <v>0</v>
      </c>
      <c r="M534" s="637">
        <f t="shared" si="337"/>
        <v>7145.88</v>
      </c>
      <c r="N534" s="637">
        <f t="shared" si="337"/>
        <v>4000</v>
      </c>
      <c r="O534" s="637">
        <f t="shared" si="337"/>
        <v>0</v>
      </c>
      <c r="P534" s="637">
        <f t="shared" si="337"/>
        <v>0</v>
      </c>
      <c r="Q534" s="637">
        <f t="shared" si="337"/>
        <v>4000</v>
      </c>
      <c r="R534" s="637">
        <f t="shared" si="337"/>
        <v>4000</v>
      </c>
      <c r="S534" s="637">
        <f t="shared" si="337"/>
        <v>0</v>
      </c>
      <c r="T534" s="637">
        <f t="shared" si="337"/>
        <v>0</v>
      </c>
      <c r="U534" s="637">
        <f t="shared" si="337"/>
        <v>4000</v>
      </c>
      <c r="V534" s="637">
        <f t="shared" si="337"/>
        <v>3145.88</v>
      </c>
      <c r="W534" s="637">
        <f t="shared" si="337"/>
        <v>3100</v>
      </c>
      <c r="X534" s="637">
        <f t="shared" si="337"/>
        <v>0</v>
      </c>
      <c r="Y534" s="637">
        <f t="shared" si="337"/>
        <v>3100</v>
      </c>
      <c r="Z534" s="637">
        <f t="shared" si="337"/>
        <v>0</v>
      </c>
      <c r="AA534" s="637">
        <f t="shared" si="337"/>
        <v>0</v>
      </c>
      <c r="AB534" s="638"/>
      <c r="AC534" s="380">
        <f t="shared" si="309"/>
        <v>0</v>
      </c>
    </row>
    <row r="535" spans="1:36" s="8" customFormat="1" ht="52.5" customHeight="1">
      <c r="A535" s="430" t="s">
        <v>144</v>
      </c>
      <c r="B535" s="42" t="s">
        <v>705</v>
      </c>
      <c r="C535" s="42" t="s">
        <v>704</v>
      </c>
      <c r="D535" s="13">
        <v>8137701</v>
      </c>
      <c r="E535" s="13"/>
      <c r="F535" s="37" t="s">
        <v>706</v>
      </c>
      <c r="G535" s="316" t="s">
        <v>707</v>
      </c>
      <c r="H535" s="13" t="s">
        <v>136</v>
      </c>
      <c r="I535" s="13" t="s">
        <v>708</v>
      </c>
      <c r="J535" s="38">
        <v>7145.88</v>
      </c>
      <c r="K535" s="38"/>
      <c r="L535" s="12"/>
      <c r="M535" s="16">
        <v>7145.88</v>
      </c>
      <c r="N535" s="12">
        <v>4000</v>
      </c>
      <c r="O535" s="12"/>
      <c r="P535" s="12"/>
      <c r="Q535" s="12">
        <v>4000</v>
      </c>
      <c r="R535" s="12">
        <v>4000</v>
      </c>
      <c r="S535" s="12"/>
      <c r="T535" s="12"/>
      <c r="U535" s="12">
        <v>4000</v>
      </c>
      <c r="V535" s="493">
        <v>3145.88</v>
      </c>
      <c r="W535" s="12">
        <f>SUM(X535:AA535)</f>
        <v>3100</v>
      </c>
      <c r="X535" s="12"/>
      <c r="Y535" s="12">
        <v>3100</v>
      </c>
      <c r="Z535" s="12"/>
      <c r="AA535" s="12"/>
      <c r="AB535" s="21" t="s">
        <v>1622</v>
      </c>
      <c r="AC535" s="380">
        <f t="shared" si="309"/>
        <v>0</v>
      </c>
      <c r="AJ535" s="8" t="s">
        <v>685</v>
      </c>
    </row>
    <row r="536" spans="1:36" s="10" customFormat="1" ht="18.75" customHeight="1">
      <c r="A536" s="398" t="s">
        <v>1306</v>
      </c>
      <c r="B536" s="413" t="s">
        <v>1307</v>
      </c>
      <c r="C536" s="42" t="s">
        <v>704</v>
      </c>
      <c r="D536" s="328"/>
      <c r="E536" s="328"/>
      <c r="F536" s="614"/>
      <c r="G536" s="448"/>
      <c r="H536" s="328"/>
      <c r="I536" s="328"/>
      <c r="J536" s="637"/>
      <c r="K536" s="637"/>
      <c r="L536" s="637"/>
      <c r="M536" s="637"/>
      <c r="N536" s="637"/>
      <c r="O536" s="637"/>
      <c r="P536" s="637"/>
      <c r="Q536" s="637"/>
      <c r="R536" s="637"/>
      <c r="S536" s="637"/>
      <c r="T536" s="637"/>
      <c r="U536" s="637"/>
      <c r="V536" s="637"/>
      <c r="W536" s="637"/>
      <c r="X536" s="637"/>
      <c r="Y536" s="637"/>
      <c r="Z536" s="637"/>
      <c r="AA536" s="637"/>
      <c r="AB536" s="638"/>
      <c r="AC536" s="380">
        <f t="shared" ref="AC536:AC604" si="338">+W536-X536-Y536-Z536</f>
        <v>0</v>
      </c>
    </row>
    <row r="537" spans="1:36" s="8" customFormat="1" ht="35.25" customHeight="1">
      <c r="A537" s="426" t="s">
        <v>1360</v>
      </c>
      <c r="B537" s="312" t="s">
        <v>709</v>
      </c>
      <c r="C537" s="312" t="s">
        <v>709</v>
      </c>
      <c r="D537" s="13"/>
      <c r="E537" s="13"/>
      <c r="F537" s="37"/>
      <c r="G537" s="316"/>
      <c r="H537" s="13"/>
      <c r="I537" s="13"/>
      <c r="J537" s="630">
        <f t="shared" ref="J537:AA537" si="339">J538</f>
        <v>27900</v>
      </c>
      <c r="K537" s="630">
        <f t="shared" si="339"/>
        <v>0</v>
      </c>
      <c r="L537" s="630">
        <f t="shared" si="339"/>
        <v>0</v>
      </c>
      <c r="M537" s="630">
        <f t="shared" si="339"/>
        <v>27900</v>
      </c>
      <c r="N537" s="630">
        <f t="shared" si="339"/>
        <v>19795</v>
      </c>
      <c r="O537" s="630">
        <f t="shared" si="339"/>
        <v>0</v>
      </c>
      <c r="P537" s="630">
        <f t="shared" si="339"/>
        <v>0</v>
      </c>
      <c r="Q537" s="630">
        <f t="shared" si="339"/>
        <v>19795</v>
      </c>
      <c r="R537" s="630">
        <f t="shared" si="339"/>
        <v>19795</v>
      </c>
      <c r="S537" s="630">
        <f t="shared" si="339"/>
        <v>0</v>
      </c>
      <c r="T537" s="630">
        <f t="shared" si="339"/>
        <v>0</v>
      </c>
      <c r="U537" s="630">
        <f t="shared" si="339"/>
        <v>19795</v>
      </c>
      <c r="V537" s="630">
        <f t="shared" si="339"/>
        <v>8105</v>
      </c>
      <c r="W537" s="630">
        <f t="shared" si="339"/>
        <v>8105</v>
      </c>
      <c r="X537" s="630">
        <f t="shared" si="339"/>
        <v>0</v>
      </c>
      <c r="Y537" s="630">
        <f t="shared" si="339"/>
        <v>8105</v>
      </c>
      <c r="Z537" s="630">
        <f t="shared" si="339"/>
        <v>0</v>
      </c>
      <c r="AA537" s="630">
        <f t="shared" si="339"/>
        <v>0</v>
      </c>
      <c r="AB537" s="631"/>
      <c r="AC537" s="380">
        <f t="shared" si="338"/>
        <v>0</v>
      </c>
    </row>
    <row r="538" spans="1:36" s="10" customFormat="1" ht="24.75" customHeight="1">
      <c r="A538" s="495" t="s">
        <v>1371</v>
      </c>
      <c r="B538" s="617" t="s">
        <v>38</v>
      </c>
      <c r="C538" s="42" t="s">
        <v>709</v>
      </c>
      <c r="D538" s="328"/>
      <c r="E538" s="328"/>
      <c r="F538" s="614"/>
      <c r="G538" s="448"/>
      <c r="H538" s="328"/>
      <c r="I538" s="328"/>
      <c r="J538" s="634">
        <f t="shared" ref="J538:AA538" si="340">J540+J539+J543</f>
        <v>27900</v>
      </c>
      <c r="K538" s="634">
        <f t="shared" si="340"/>
        <v>0</v>
      </c>
      <c r="L538" s="634">
        <f t="shared" si="340"/>
        <v>0</v>
      </c>
      <c r="M538" s="634">
        <f t="shared" si="340"/>
        <v>27900</v>
      </c>
      <c r="N538" s="634">
        <f t="shared" si="340"/>
        <v>19795</v>
      </c>
      <c r="O538" s="634">
        <f t="shared" si="340"/>
        <v>0</v>
      </c>
      <c r="P538" s="634">
        <f t="shared" si="340"/>
        <v>0</v>
      </c>
      <c r="Q538" s="634">
        <f t="shared" si="340"/>
        <v>19795</v>
      </c>
      <c r="R538" s="634">
        <f t="shared" si="340"/>
        <v>19795</v>
      </c>
      <c r="S538" s="634">
        <f t="shared" si="340"/>
        <v>0</v>
      </c>
      <c r="T538" s="634">
        <f t="shared" si="340"/>
        <v>0</v>
      </c>
      <c r="U538" s="634">
        <f t="shared" si="340"/>
        <v>19795</v>
      </c>
      <c r="V538" s="634">
        <f t="shared" si="340"/>
        <v>8105</v>
      </c>
      <c r="W538" s="634">
        <f t="shared" si="340"/>
        <v>8105</v>
      </c>
      <c r="X538" s="634">
        <f t="shared" si="340"/>
        <v>0</v>
      </c>
      <c r="Y538" s="634">
        <f t="shared" si="340"/>
        <v>8105</v>
      </c>
      <c r="Z538" s="634">
        <f t="shared" si="340"/>
        <v>0</v>
      </c>
      <c r="AA538" s="634">
        <f t="shared" si="340"/>
        <v>0</v>
      </c>
      <c r="AB538" s="635"/>
      <c r="AC538" s="380">
        <f t="shared" si="338"/>
        <v>0</v>
      </c>
    </row>
    <row r="539" spans="1:36" s="10" customFormat="1" ht="39.75" customHeight="1">
      <c r="A539" s="332" t="s">
        <v>39</v>
      </c>
      <c r="B539" s="326" t="s">
        <v>1254</v>
      </c>
      <c r="C539" s="42" t="s">
        <v>709</v>
      </c>
      <c r="D539" s="554"/>
      <c r="E539" s="332"/>
      <c r="F539" s="471"/>
      <c r="G539" s="471"/>
      <c r="H539" s="332"/>
      <c r="I539" s="471"/>
      <c r="J539" s="331"/>
      <c r="K539" s="331"/>
      <c r="L539" s="331"/>
      <c r="M539" s="331"/>
      <c r="N539" s="331"/>
      <c r="O539" s="331"/>
      <c r="P539" s="331"/>
      <c r="Q539" s="331"/>
      <c r="R539" s="331"/>
      <c r="S539" s="331"/>
      <c r="T539" s="331"/>
      <c r="U539" s="331"/>
      <c r="V539" s="331"/>
      <c r="W539" s="331"/>
      <c r="X539" s="331"/>
      <c r="Y539" s="331"/>
      <c r="Z539" s="331"/>
      <c r="AA539" s="331"/>
      <c r="AB539" s="332"/>
      <c r="AC539" s="380">
        <f t="shared" si="338"/>
        <v>0</v>
      </c>
    </row>
    <row r="540" spans="1:36" s="10" customFormat="1" ht="52.5" customHeight="1">
      <c r="A540" s="398" t="s">
        <v>467</v>
      </c>
      <c r="B540" s="620" t="s">
        <v>56</v>
      </c>
      <c r="C540" s="42" t="s">
        <v>709</v>
      </c>
      <c r="D540" s="328"/>
      <c r="E540" s="328"/>
      <c r="F540" s="614"/>
      <c r="G540" s="448"/>
      <c r="H540" s="328"/>
      <c r="I540" s="328"/>
      <c r="J540" s="637">
        <f t="shared" ref="J540:AA540" si="341">SUM(J541:J542)</f>
        <v>27900</v>
      </c>
      <c r="K540" s="637">
        <f t="shared" si="341"/>
        <v>0</v>
      </c>
      <c r="L540" s="637">
        <f t="shared" si="341"/>
        <v>0</v>
      </c>
      <c r="M540" s="637">
        <f t="shared" si="341"/>
        <v>27900</v>
      </c>
      <c r="N540" s="637">
        <f t="shared" si="341"/>
        <v>19795</v>
      </c>
      <c r="O540" s="637">
        <f t="shared" si="341"/>
        <v>0</v>
      </c>
      <c r="P540" s="637">
        <f t="shared" si="341"/>
        <v>0</v>
      </c>
      <c r="Q540" s="637">
        <f t="shared" si="341"/>
        <v>19795</v>
      </c>
      <c r="R540" s="637">
        <f t="shared" si="341"/>
        <v>19795</v>
      </c>
      <c r="S540" s="637">
        <f t="shared" si="341"/>
        <v>0</v>
      </c>
      <c r="T540" s="637">
        <f t="shared" si="341"/>
        <v>0</v>
      </c>
      <c r="U540" s="637">
        <f t="shared" si="341"/>
        <v>19795</v>
      </c>
      <c r="V540" s="637">
        <f t="shared" si="341"/>
        <v>8105</v>
      </c>
      <c r="W540" s="637">
        <f t="shared" si="341"/>
        <v>8105</v>
      </c>
      <c r="X540" s="637">
        <f t="shared" si="341"/>
        <v>0</v>
      </c>
      <c r="Y540" s="637">
        <f t="shared" si="341"/>
        <v>8105</v>
      </c>
      <c r="Z540" s="637">
        <f t="shared" si="341"/>
        <v>0</v>
      </c>
      <c r="AA540" s="637">
        <f t="shared" si="341"/>
        <v>0</v>
      </c>
      <c r="AB540" s="638"/>
      <c r="AC540" s="380">
        <f t="shared" si="338"/>
        <v>0</v>
      </c>
    </row>
    <row r="541" spans="1:36" s="8" customFormat="1" ht="47.25" customHeight="1">
      <c r="A541" s="430" t="s">
        <v>144</v>
      </c>
      <c r="B541" s="42" t="s">
        <v>710</v>
      </c>
      <c r="C541" s="42" t="s">
        <v>709</v>
      </c>
      <c r="D541" s="13">
        <v>8134301</v>
      </c>
      <c r="E541" s="13"/>
      <c r="F541" s="37" t="s">
        <v>711</v>
      </c>
      <c r="G541" s="316" t="s">
        <v>712</v>
      </c>
      <c r="H541" s="13" t="s">
        <v>244</v>
      </c>
      <c r="I541" s="13" t="s">
        <v>713</v>
      </c>
      <c r="J541" s="38">
        <v>13000</v>
      </c>
      <c r="K541" s="38"/>
      <c r="L541" s="12"/>
      <c r="M541" s="16">
        <v>13000</v>
      </c>
      <c r="N541" s="12">
        <v>11000</v>
      </c>
      <c r="O541" s="12"/>
      <c r="P541" s="12"/>
      <c r="Q541" s="12">
        <v>11000</v>
      </c>
      <c r="R541" s="12">
        <v>11000</v>
      </c>
      <c r="S541" s="12"/>
      <c r="T541" s="12"/>
      <c r="U541" s="12">
        <v>11000</v>
      </c>
      <c r="V541" s="607">
        <v>2000</v>
      </c>
      <c r="W541" s="12">
        <f>SUM(X541:AA541)</f>
        <v>2000</v>
      </c>
      <c r="X541" s="12"/>
      <c r="Y541" s="12">
        <v>2000</v>
      </c>
      <c r="Z541" s="12"/>
      <c r="AA541" s="12"/>
      <c r="AB541" s="21" t="s">
        <v>1622</v>
      </c>
      <c r="AC541" s="380">
        <f t="shared" si="338"/>
        <v>0</v>
      </c>
      <c r="AJ541" s="8" t="s">
        <v>685</v>
      </c>
    </row>
    <row r="542" spans="1:36" s="8" customFormat="1" ht="54" customHeight="1">
      <c r="A542" s="430" t="s">
        <v>144</v>
      </c>
      <c r="B542" s="42" t="s">
        <v>714</v>
      </c>
      <c r="C542" s="42" t="s">
        <v>709</v>
      </c>
      <c r="D542" s="13">
        <v>8134303</v>
      </c>
      <c r="E542" s="13"/>
      <c r="F542" s="37" t="s">
        <v>715</v>
      </c>
      <c r="G542" s="316" t="s">
        <v>716</v>
      </c>
      <c r="H542" s="13" t="s">
        <v>187</v>
      </c>
      <c r="I542" s="13" t="s">
        <v>717</v>
      </c>
      <c r="J542" s="38">
        <v>14900</v>
      </c>
      <c r="K542" s="38"/>
      <c r="L542" s="12"/>
      <c r="M542" s="16">
        <v>14900</v>
      </c>
      <c r="N542" s="12">
        <v>8795</v>
      </c>
      <c r="O542" s="12"/>
      <c r="P542" s="12"/>
      <c r="Q542" s="12">
        <v>8795</v>
      </c>
      <c r="R542" s="12">
        <v>8795</v>
      </c>
      <c r="S542" s="12"/>
      <c r="T542" s="12"/>
      <c r="U542" s="12">
        <v>8795</v>
      </c>
      <c r="V542" s="607">
        <v>6105</v>
      </c>
      <c r="W542" s="12">
        <f>SUM(X542:AA542)</f>
        <v>6105</v>
      </c>
      <c r="X542" s="12"/>
      <c r="Y542" s="12">
        <v>6105</v>
      </c>
      <c r="Z542" s="12"/>
      <c r="AA542" s="12"/>
      <c r="AB542" s="21" t="s">
        <v>1622</v>
      </c>
      <c r="AC542" s="380">
        <f t="shared" si="338"/>
        <v>0</v>
      </c>
      <c r="AJ542" s="8" t="s">
        <v>685</v>
      </c>
    </row>
    <row r="543" spans="1:36" s="10" customFormat="1" ht="18.75" customHeight="1">
      <c r="A543" s="398" t="s">
        <v>1306</v>
      </c>
      <c r="B543" s="413" t="s">
        <v>1307</v>
      </c>
      <c r="C543" s="42" t="s">
        <v>709</v>
      </c>
      <c r="D543" s="328"/>
      <c r="E543" s="328"/>
      <c r="F543" s="614"/>
      <c r="G543" s="448"/>
      <c r="H543" s="328"/>
      <c r="I543" s="328"/>
      <c r="J543" s="637"/>
      <c r="K543" s="637"/>
      <c r="L543" s="637"/>
      <c r="M543" s="637"/>
      <c r="N543" s="637"/>
      <c r="O543" s="637"/>
      <c r="P543" s="637"/>
      <c r="Q543" s="637"/>
      <c r="R543" s="637"/>
      <c r="S543" s="637"/>
      <c r="T543" s="637"/>
      <c r="U543" s="637"/>
      <c r="V543" s="637"/>
      <c r="W543" s="637"/>
      <c r="X543" s="637"/>
      <c r="Y543" s="637"/>
      <c r="Z543" s="637"/>
      <c r="AA543" s="637"/>
      <c r="AB543" s="638"/>
      <c r="AC543" s="380">
        <f t="shared" si="338"/>
        <v>0</v>
      </c>
    </row>
    <row r="544" spans="1:36" s="8" customFormat="1" ht="31.5" customHeight="1">
      <c r="A544" s="426" t="s">
        <v>1361</v>
      </c>
      <c r="B544" s="312" t="s">
        <v>718</v>
      </c>
      <c r="C544" s="312" t="s">
        <v>718</v>
      </c>
      <c r="D544" s="13"/>
      <c r="E544" s="13"/>
      <c r="F544" s="37"/>
      <c r="G544" s="316"/>
      <c r="H544" s="13"/>
      <c r="I544" s="13"/>
      <c r="J544" s="630">
        <f t="shared" ref="J544:AA544" si="342">J545</f>
        <v>89504</v>
      </c>
      <c r="K544" s="630">
        <f t="shared" si="342"/>
        <v>0</v>
      </c>
      <c r="L544" s="630">
        <f t="shared" si="342"/>
        <v>48500</v>
      </c>
      <c r="M544" s="630">
        <f t="shared" si="342"/>
        <v>79804</v>
      </c>
      <c r="N544" s="630">
        <f t="shared" si="342"/>
        <v>27553</v>
      </c>
      <c r="O544" s="630">
        <f t="shared" si="342"/>
        <v>0</v>
      </c>
      <c r="P544" s="630">
        <f t="shared" si="342"/>
        <v>9653</v>
      </c>
      <c r="Q544" s="630">
        <f t="shared" si="342"/>
        <v>17900</v>
      </c>
      <c r="R544" s="630">
        <f t="shared" si="342"/>
        <v>27553</v>
      </c>
      <c r="S544" s="630">
        <f t="shared" si="342"/>
        <v>0</v>
      </c>
      <c r="T544" s="630">
        <f t="shared" si="342"/>
        <v>9653</v>
      </c>
      <c r="U544" s="630">
        <f t="shared" si="342"/>
        <v>17900</v>
      </c>
      <c r="V544" s="630">
        <f t="shared" si="342"/>
        <v>57332</v>
      </c>
      <c r="W544" s="630">
        <f t="shared" si="342"/>
        <v>56300</v>
      </c>
      <c r="X544" s="630">
        <f t="shared" si="342"/>
        <v>54100</v>
      </c>
      <c r="Y544" s="630">
        <f t="shared" si="342"/>
        <v>2200</v>
      </c>
      <c r="Z544" s="630">
        <f t="shared" si="342"/>
        <v>0</v>
      </c>
      <c r="AA544" s="630">
        <f t="shared" si="342"/>
        <v>0</v>
      </c>
      <c r="AB544" s="631"/>
      <c r="AC544" s="380">
        <f t="shared" si="338"/>
        <v>0</v>
      </c>
    </row>
    <row r="545" spans="1:36" s="10" customFormat="1" ht="31.5" customHeight="1">
      <c r="A545" s="495" t="s">
        <v>1362</v>
      </c>
      <c r="B545" s="617" t="s">
        <v>38</v>
      </c>
      <c r="C545" s="42" t="s">
        <v>718</v>
      </c>
      <c r="D545" s="328"/>
      <c r="E545" s="328"/>
      <c r="F545" s="614"/>
      <c r="G545" s="448"/>
      <c r="H545" s="328"/>
      <c r="I545" s="328"/>
      <c r="J545" s="634">
        <f t="shared" ref="J545:AA545" si="343">J547+J546+J553</f>
        <v>89504</v>
      </c>
      <c r="K545" s="634">
        <f t="shared" si="343"/>
        <v>0</v>
      </c>
      <c r="L545" s="634">
        <f t="shared" si="343"/>
        <v>48500</v>
      </c>
      <c r="M545" s="634">
        <f t="shared" si="343"/>
        <v>79804</v>
      </c>
      <c r="N545" s="634">
        <f t="shared" si="343"/>
        <v>27553</v>
      </c>
      <c r="O545" s="634">
        <f t="shared" si="343"/>
        <v>0</v>
      </c>
      <c r="P545" s="634">
        <f t="shared" si="343"/>
        <v>9653</v>
      </c>
      <c r="Q545" s="634">
        <f t="shared" si="343"/>
        <v>17900</v>
      </c>
      <c r="R545" s="634">
        <f t="shared" si="343"/>
        <v>27553</v>
      </c>
      <c r="S545" s="634">
        <f t="shared" si="343"/>
        <v>0</v>
      </c>
      <c r="T545" s="634">
        <f t="shared" si="343"/>
        <v>9653</v>
      </c>
      <c r="U545" s="634">
        <f t="shared" si="343"/>
        <v>17900</v>
      </c>
      <c r="V545" s="634">
        <f t="shared" si="343"/>
        <v>57332</v>
      </c>
      <c r="W545" s="634">
        <f t="shared" si="343"/>
        <v>56300</v>
      </c>
      <c r="X545" s="634">
        <f t="shared" si="343"/>
        <v>54100</v>
      </c>
      <c r="Y545" s="634">
        <f t="shared" si="343"/>
        <v>2200</v>
      </c>
      <c r="Z545" s="634">
        <f t="shared" si="343"/>
        <v>0</v>
      </c>
      <c r="AA545" s="634">
        <f t="shared" si="343"/>
        <v>0</v>
      </c>
      <c r="AB545" s="635"/>
      <c r="AC545" s="380">
        <f t="shared" si="338"/>
        <v>0</v>
      </c>
    </row>
    <row r="546" spans="1:36" s="10" customFormat="1" ht="39.75" customHeight="1">
      <c r="A546" s="332" t="s">
        <v>39</v>
      </c>
      <c r="B546" s="326" t="s">
        <v>1254</v>
      </c>
      <c r="C546" s="42" t="s">
        <v>718</v>
      </c>
      <c r="D546" s="554"/>
      <c r="E546" s="332"/>
      <c r="F546" s="471"/>
      <c r="G546" s="471"/>
      <c r="H546" s="332"/>
      <c r="I546" s="471"/>
      <c r="J546" s="331"/>
      <c r="K546" s="331"/>
      <c r="L546" s="331"/>
      <c r="M546" s="331"/>
      <c r="N546" s="331"/>
      <c r="O546" s="331"/>
      <c r="P546" s="331"/>
      <c r="Q546" s="331"/>
      <c r="R546" s="331"/>
      <c r="S546" s="331"/>
      <c r="T546" s="331"/>
      <c r="U546" s="331"/>
      <c r="V546" s="331"/>
      <c r="W546" s="331"/>
      <c r="X546" s="331"/>
      <c r="Y546" s="331"/>
      <c r="Z546" s="331"/>
      <c r="AA546" s="331"/>
      <c r="AB546" s="332"/>
      <c r="AC546" s="380">
        <f t="shared" si="338"/>
        <v>0</v>
      </c>
    </row>
    <row r="547" spans="1:36" s="10" customFormat="1" ht="47.25" customHeight="1">
      <c r="A547" s="398" t="s">
        <v>467</v>
      </c>
      <c r="B547" s="620" t="s">
        <v>56</v>
      </c>
      <c r="C547" s="42" t="s">
        <v>718</v>
      </c>
      <c r="D547" s="328"/>
      <c r="E547" s="328"/>
      <c r="F547" s="614"/>
      <c r="G547" s="448"/>
      <c r="H547" s="328"/>
      <c r="I547" s="328"/>
      <c r="J547" s="637">
        <f t="shared" ref="J547:AA547" si="344">SUM(J548:J552)</f>
        <v>89504</v>
      </c>
      <c r="K547" s="637">
        <f t="shared" si="344"/>
        <v>0</v>
      </c>
      <c r="L547" s="637">
        <f t="shared" si="344"/>
        <v>48500</v>
      </c>
      <c r="M547" s="637">
        <f t="shared" si="344"/>
        <v>79804</v>
      </c>
      <c r="N547" s="637">
        <f t="shared" si="344"/>
        <v>27553</v>
      </c>
      <c r="O547" s="637">
        <f t="shared" si="344"/>
        <v>0</v>
      </c>
      <c r="P547" s="637">
        <f t="shared" si="344"/>
        <v>9653</v>
      </c>
      <c r="Q547" s="637">
        <f t="shared" si="344"/>
        <v>17900</v>
      </c>
      <c r="R547" s="637">
        <f t="shared" si="344"/>
        <v>27553</v>
      </c>
      <c r="S547" s="637">
        <f t="shared" si="344"/>
        <v>0</v>
      </c>
      <c r="T547" s="637">
        <f t="shared" si="344"/>
        <v>9653</v>
      </c>
      <c r="U547" s="637">
        <f t="shared" si="344"/>
        <v>17900</v>
      </c>
      <c r="V547" s="637">
        <f t="shared" si="344"/>
        <v>57332</v>
      </c>
      <c r="W547" s="637">
        <f>SUM(W548:W552)</f>
        <v>56300</v>
      </c>
      <c r="X547" s="637">
        <f t="shared" si="344"/>
        <v>54100</v>
      </c>
      <c r="Y547" s="637">
        <f t="shared" si="344"/>
        <v>2200</v>
      </c>
      <c r="Z547" s="637">
        <f t="shared" si="344"/>
        <v>0</v>
      </c>
      <c r="AA547" s="637">
        <f t="shared" si="344"/>
        <v>0</v>
      </c>
      <c r="AB547" s="638"/>
      <c r="AC547" s="380">
        <f t="shared" si="338"/>
        <v>0</v>
      </c>
    </row>
    <row r="548" spans="1:36" s="8" customFormat="1" ht="59.25" customHeight="1">
      <c r="A548" s="430" t="s">
        <v>144</v>
      </c>
      <c r="B548" s="42" t="s">
        <v>719</v>
      </c>
      <c r="C548" s="42" t="s">
        <v>718</v>
      </c>
      <c r="D548" s="13">
        <v>1008654</v>
      </c>
      <c r="E548" s="13"/>
      <c r="F548" s="37" t="s">
        <v>120</v>
      </c>
      <c r="G548" s="316" t="s">
        <v>720</v>
      </c>
      <c r="H548" s="13" t="s">
        <v>721</v>
      </c>
      <c r="I548" s="13" t="s">
        <v>722</v>
      </c>
      <c r="J548" s="38">
        <v>48500</v>
      </c>
      <c r="K548" s="38"/>
      <c r="L548" s="38">
        <v>48500</v>
      </c>
      <c r="M548" s="16">
        <v>38800</v>
      </c>
      <c r="N548" s="12">
        <v>9653</v>
      </c>
      <c r="O548" s="12"/>
      <c r="P548" s="12">
        <v>9653</v>
      </c>
      <c r="Q548" s="12"/>
      <c r="R548" s="12">
        <v>9653</v>
      </c>
      <c r="S548" s="12"/>
      <c r="T548" s="12">
        <v>9653</v>
      </c>
      <c r="U548" s="38"/>
      <c r="V548" s="95">
        <v>38847</v>
      </c>
      <c r="W548" s="12">
        <f>SUM(X548:AA548)</f>
        <v>38800</v>
      </c>
      <c r="X548" s="12">
        <v>38800</v>
      </c>
      <c r="Y548" s="12"/>
      <c r="Z548" s="12"/>
      <c r="AA548" s="12"/>
      <c r="AB548" s="21" t="s">
        <v>1622</v>
      </c>
      <c r="AC548" s="380">
        <f t="shared" si="338"/>
        <v>0</v>
      </c>
      <c r="AJ548" s="8" t="s">
        <v>685</v>
      </c>
    </row>
    <row r="549" spans="1:36" s="8" customFormat="1" ht="72" customHeight="1">
      <c r="A549" s="430" t="s">
        <v>144</v>
      </c>
      <c r="B549" s="42" t="s">
        <v>723</v>
      </c>
      <c r="C549" s="42" t="s">
        <v>718</v>
      </c>
      <c r="D549" s="13">
        <v>8060749</v>
      </c>
      <c r="E549" s="13"/>
      <c r="F549" s="37" t="s">
        <v>120</v>
      </c>
      <c r="G549" s="316" t="s">
        <v>186</v>
      </c>
      <c r="H549" s="13" t="s">
        <v>41</v>
      </c>
      <c r="I549" s="13" t="s">
        <v>724</v>
      </c>
      <c r="J549" s="38">
        <v>30000</v>
      </c>
      <c r="K549" s="38"/>
      <c r="L549" s="12"/>
      <c r="M549" s="16">
        <v>30000</v>
      </c>
      <c r="N549" s="12">
        <v>10100</v>
      </c>
      <c r="O549" s="12"/>
      <c r="P549" s="12"/>
      <c r="Q549" s="12">
        <v>10100</v>
      </c>
      <c r="R549" s="12">
        <v>10100</v>
      </c>
      <c r="S549" s="12"/>
      <c r="T549" s="12"/>
      <c r="U549" s="12">
        <v>10100</v>
      </c>
      <c r="V549" s="95">
        <v>15300</v>
      </c>
      <c r="W549" s="12">
        <f t="shared" ref="W549:W552" si="345">SUM(X549:AA549)</f>
        <v>15300</v>
      </c>
      <c r="X549" s="12">
        <v>15300</v>
      </c>
      <c r="Y549" s="12"/>
      <c r="Z549" s="12"/>
      <c r="AA549" s="12"/>
      <c r="AB549" s="21" t="s">
        <v>1622</v>
      </c>
      <c r="AC549" s="380">
        <f t="shared" si="338"/>
        <v>0</v>
      </c>
      <c r="AJ549" s="8" t="s">
        <v>685</v>
      </c>
    </row>
    <row r="550" spans="1:36" s="8" customFormat="1" ht="59.25" customHeight="1">
      <c r="A550" s="430" t="s">
        <v>144</v>
      </c>
      <c r="B550" s="42" t="s">
        <v>725</v>
      </c>
      <c r="C550" s="42" t="s">
        <v>718</v>
      </c>
      <c r="D550" s="13">
        <v>8130044</v>
      </c>
      <c r="E550" s="13"/>
      <c r="F550" s="37" t="s">
        <v>667</v>
      </c>
      <c r="G550" s="316" t="s">
        <v>186</v>
      </c>
      <c r="H550" s="13" t="s">
        <v>244</v>
      </c>
      <c r="I550" s="13" t="s">
        <v>726</v>
      </c>
      <c r="J550" s="38">
        <v>2371</v>
      </c>
      <c r="K550" s="38"/>
      <c r="L550" s="12"/>
      <c r="M550" s="16">
        <v>2371</v>
      </c>
      <c r="N550" s="12">
        <v>1500</v>
      </c>
      <c r="O550" s="12"/>
      <c r="P550" s="12"/>
      <c r="Q550" s="12">
        <v>1500</v>
      </c>
      <c r="R550" s="12">
        <v>1500</v>
      </c>
      <c r="S550" s="12"/>
      <c r="T550" s="12"/>
      <c r="U550" s="12">
        <v>1500</v>
      </c>
      <c r="V550" s="95">
        <v>870</v>
      </c>
      <c r="W550" s="12">
        <f t="shared" si="345"/>
        <v>600</v>
      </c>
      <c r="X550" s="12"/>
      <c r="Y550" s="12">
        <v>600</v>
      </c>
      <c r="Z550" s="12"/>
      <c r="AA550" s="12"/>
      <c r="AB550" s="21" t="s">
        <v>1622</v>
      </c>
      <c r="AC550" s="380">
        <f t="shared" si="338"/>
        <v>0</v>
      </c>
      <c r="AJ550" s="8" t="s">
        <v>685</v>
      </c>
    </row>
    <row r="551" spans="1:36" s="8" customFormat="1" ht="59.25" customHeight="1">
      <c r="A551" s="430" t="s">
        <v>144</v>
      </c>
      <c r="B551" s="42" t="s">
        <v>727</v>
      </c>
      <c r="C551" s="42" t="s">
        <v>718</v>
      </c>
      <c r="D551" s="13">
        <v>8130046</v>
      </c>
      <c r="E551" s="13"/>
      <c r="F551" s="37" t="s">
        <v>120</v>
      </c>
      <c r="G551" s="316" t="s">
        <v>186</v>
      </c>
      <c r="H551" s="13" t="s">
        <v>244</v>
      </c>
      <c r="I551" s="13" t="s">
        <v>728</v>
      </c>
      <c r="J551" s="38">
        <v>4818</v>
      </c>
      <c r="K551" s="38"/>
      <c r="L551" s="12"/>
      <c r="M551" s="16">
        <v>4818</v>
      </c>
      <c r="N551" s="12">
        <v>3800</v>
      </c>
      <c r="O551" s="12"/>
      <c r="P551" s="12"/>
      <c r="Q551" s="12">
        <v>3800</v>
      </c>
      <c r="R551" s="12">
        <v>3800</v>
      </c>
      <c r="S551" s="12"/>
      <c r="T551" s="12"/>
      <c r="U551" s="12">
        <v>3800</v>
      </c>
      <c r="V551" s="95">
        <v>1000</v>
      </c>
      <c r="W551" s="12">
        <f t="shared" si="345"/>
        <v>500</v>
      </c>
      <c r="X551" s="12"/>
      <c r="Y551" s="12">
        <v>500</v>
      </c>
      <c r="Z551" s="12"/>
      <c r="AA551" s="12"/>
      <c r="AB551" s="21" t="s">
        <v>1622</v>
      </c>
      <c r="AC551" s="380">
        <f t="shared" si="338"/>
        <v>0</v>
      </c>
      <c r="AJ551" s="8" t="s">
        <v>685</v>
      </c>
    </row>
    <row r="552" spans="1:36" s="8" customFormat="1" ht="59.25" customHeight="1">
      <c r="A552" s="430" t="s">
        <v>144</v>
      </c>
      <c r="B552" s="42" t="s">
        <v>729</v>
      </c>
      <c r="C552" s="42" t="s">
        <v>718</v>
      </c>
      <c r="D552" s="13">
        <v>8130542</v>
      </c>
      <c r="E552" s="13"/>
      <c r="F552" s="37" t="s">
        <v>730</v>
      </c>
      <c r="G552" s="316" t="s">
        <v>186</v>
      </c>
      <c r="H552" s="13" t="s">
        <v>244</v>
      </c>
      <c r="I552" s="13" t="s">
        <v>731</v>
      </c>
      <c r="J552" s="38">
        <v>3815</v>
      </c>
      <c r="K552" s="38"/>
      <c r="L552" s="12"/>
      <c r="M552" s="16">
        <v>3815</v>
      </c>
      <c r="N552" s="12">
        <v>2500</v>
      </c>
      <c r="O552" s="12"/>
      <c r="P552" s="12"/>
      <c r="Q552" s="12">
        <v>2500</v>
      </c>
      <c r="R552" s="12">
        <v>2500</v>
      </c>
      <c r="S552" s="12"/>
      <c r="T552" s="12"/>
      <c r="U552" s="12">
        <v>2500</v>
      </c>
      <c r="V552" s="95">
        <v>1315</v>
      </c>
      <c r="W552" s="12">
        <f t="shared" si="345"/>
        <v>1100</v>
      </c>
      <c r="X552" s="12"/>
      <c r="Y552" s="12">
        <v>1100</v>
      </c>
      <c r="Z552" s="12"/>
      <c r="AA552" s="12"/>
      <c r="AB552" s="21" t="s">
        <v>1622</v>
      </c>
      <c r="AC552" s="380">
        <f t="shared" si="338"/>
        <v>0</v>
      </c>
      <c r="AJ552" s="8" t="s">
        <v>685</v>
      </c>
    </row>
    <row r="553" spans="1:36" s="10" customFormat="1" ht="45.75" customHeight="1">
      <c r="A553" s="398" t="s">
        <v>1306</v>
      </c>
      <c r="B553" s="413" t="s">
        <v>1307</v>
      </c>
      <c r="C553" s="42" t="s">
        <v>718</v>
      </c>
      <c r="D553" s="328"/>
      <c r="E553" s="328"/>
      <c r="F553" s="614"/>
      <c r="G553" s="448"/>
      <c r="H553" s="328"/>
      <c r="I553" s="328"/>
      <c r="J553" s="637"/>
      <c r="K553" s="637"/>
      <c r="L553" s="637"/>
      <c r="M553" s="637"/>
      <c r="N553" s="637"/>
      <c r="O553" s="637"/>
      <c r="P553" s="637"/>
      <c r="Q553" s="637"/>
      <c r="R553" s="637"/>
      <c r="S553" s="637"/>
      <c r="T553" s="637"/>
      <c r="U553" s="637"/>
      <c r="V553" s="637"/>
      <c r="W553" s="637"/>
      <c r="X553" s="637"/>
      <c r="Y553" s="637"/>
      <c r="Z553" s="637"/>
      <c r="AA553" s="637"/>
      <c r="AB553" s="638"/>
      <c r="AC553" s="380">
        <f t="shared" si="338"/>
        <v>0</v>
      </c>
    </row>
    <row r="554" spans="1:36" s="8" customFormat="1" ht="39" customHeight="1">
      <c r="A554" s="426" t="s">
        <v>1363</v>
      </c>
      <c r="B554" s="312" t="s">
        <v>732</v>
      </c>
      <c r="C554" s="312" t="s">
        <v>732</v>
      </c>
      <c r="D554" s="13"/>
      <c r="E554" s="13"/>
      <c r="F554" s="37"/>
      <c r="G554" s="316"/>
      <c r="H554" s="13"/>
      <c r="I554" s="13"/>
      <c r="J554" s="630">
        <f t="shared" ref="J554:AA554" si="346">J555</f>
        <v>190000</v>
      </c>
      <c r="K554" s="630">
        <f t="shared" si="346"/>
        <v>0</v>
      </c>
      <c r="L554" s="630">
        <f t="shared" si="346"/>
        <v>0</v>
      </c>
      <c r="M554" s="630">
        <f t="shared" si="346"/>
        <v>190000</v>
      </c>
      <c r="N554" s="630">
        <f t="shared" si="346"/>
        <v>41056</v>
      </c>
      <c r="O554" s="630">
        <f t="shared" si="346"/>
        <v>0</v>
      </c>
      <c r="P554" s="630">
        <f t="shared" si="346"/>
        <v>0</v>
      </c>
      <c r="Q554" s="630">
        <f t="shared" si="346"/>
        <v>41056</v>
      </c>
      <c r="R554" s="630">
        <f t="shared" si="346"/>
        <v>41056</v>
      </c>
      <c r="S554" s="630">
        <f t="shared" si="346"/>
        <v>0</v>
      </c>
      <c r="T554" s="630">
        <f t="shared" si="346"/>
        <v>0</v>
      </c>
      <c r="U554" s="630">
        <f t="shared" si="346"/>
        <v>41056</v>
      </c>
      <c r="V554" s="630">
        <f t="shared" si="346"/>
        <v>148944</v>
      </c>
      <c r="W554" s="630">
        <f t="shared" si="346"/>
        <v>70000</v>
      </c>
      <c r="X554" s="630">
        <f t="shared" si="346"/>
        <v>0</v>
      </c>
      <c r="Y554" s="630">
        <f t="shared" si="346"/>
        <v>70000</v>
      </c>
      <c r="Z554" s="630">
        <f t="shared" si="346"/>
        <v>0</v>
      </c>
      <c r="AA554" s="630">
        <f t="shared" si="346"/>
        <v>0</v>
      </c>
      <c r="AB554" s="631"/>
      <c r="AC554" s="380">
        <f t="shared" si="338"/>
        <v>0</v>
      </c>
    </row>
    <row r="555" spans="1:36" s="10" customFormat="1" ht="21.75" customHeight="1">
      <c r="A555" s="495" t="s">
        <v>1364</v>
      </c>
      <c r="B555" s="617" t="s">
        <v>38</v>
      </c>
      <c r="C555" s="42" t="s">
        <v>732</v>
      </c>
      <c r="D555" s="328"/>
      <c r="E555" s="328"/>
      <c r="F555" s="614"/>
      <c r="G555" s="448"/>
      <c r="H555" s="328"/>
      <c r="I555" s="328"/>
      <c r="J555" s="634">
        <f t="shared" ref="J555:AA555" si="347">J557+J559+J556</f>
        <v>190000</v>
      </c>
      <c r="K555" s="634">
        <f t="shared" si="347"/>
        <v>0</v>
      </c>
      <c r="L555" s="634">
        <f t="shared" si="347"/>
        <v>0</v>
      </c>
      <c r="M555" s="634">
        <f t="shared" si="347"/>
        <v>190000</v>
      </c>
      <c r="N555" s="634">
        <f t="shared" si="347"/>
        <v>41056</v>
      </c>
      <c r="O555" s="634">
        <f t="shared" si="347"/>
        <v>0</v>
      </c>
      <c r="P555" s="634">
        <f t="shared" si="347"/>
        <v>0</v>
      </c>
      <c r="Q555" s="634">
        <f t="shared" si="347"/>
        <v>41056</v>
      </c>
      <c r="R555" s="634">
        <f t="shared" si="347"/>
        <v>41056</v>
      </c>
      <c r="S555" s="634">
        <f t="shared" si="347"/>
        <v>0</v>
      </c>
      <c r="T555" s="634">
        <f t="shared" si="347"/>
        <v>0</v>
      </c>
      <c r="U555" s="634">
        <f t="shared" si="347"/>
        <v>41056</v>
      </c>
      <c r="V555" s="634">
        <f t="shared" si="347"/>
        <v>148944</v>
      </c>
      <c r="W555" s="634">
        <f t="shared" si="347"/>
        <v>70000</v>
      </c>
      <c r="X555" s="634">
        <f t="shared" si="347"/>
        <v>0</v>
      </c>
      <c r="Y555" s="634">
        <f t="shared" si="347"/>
        <v>70000</v>
      </c>
      <c r="Z555" s="634">
        <f t="shared" si="347"/>
        <v>0</v>
      </c>
      <c r="AA555" s="634">
        <f t="shared" si="347"/>
        <v>0</v>
      </c>
      <c r="AB555" s="635"/>
      <c r="AC555" s="380">
        <f t="shared" si="338"/>
        <v>0</v>
      </c>
    </row>
    <row r="556" spans="1:36" s="10" customFormat="1" ht="39.75" customHeight="1">
      <c r="A556" s="332" t="s">
        <v>39</v>
      </c>
      <c r="B556" s="326" t="s">
        <v>1254</v>
      </c>
      <c r="C556" s="42" t="s">
        <v>732</v>
      </c>
      <c r="D556" s="554"/>
      <c r="E556" s="332"/>
      <c r="F556" s="471"/>
      <c r="G556" s="471"/>
      <c r="H556" s="332"/>
      <c r="I556" s="471"/>
      <c r="J556" s="331"/>
      <c r="K556" s="331"/>
      <c r="L556" s="331"/>
      <c r="M556" s="331"/>
      <c r="N556" s="331"/>
      <c r="O556" s="331"/>
      <c r="P556" s="331"/>
      <c r="Q556" s="331"/>
      <c r="R556" s="331"/>
      <c r="S556" s="331"/>
      <c r="T556" s="331"/>
      <c r="U556" s="331"/>
      <c r="V556" s="331"/>
      <c r="W556" s="331"/>
      <c r="X556" s="331"/>
      <c r="Y556" s="331"/>
      <c r="Z556" s="331"/>
      <c r="AA556" s="331"/>
      <c r="AB556" s="332"/>
      <c r="AC556" s="380">
        <f t="shared" si="338"/>
        <v>0</v>
      </c>
    </row>
    <row r="557" spans="1:36" s="10" customFormat="1" ht="47.25" customHeight="1">
      <c r="A557" s="398" t="s">
        <v>467</v>
      </c>
      <c r="B557" s="620" t="s">
        <v>56</v>
      </c>
      <c r="C557" s="42" t="s">
        <v>732</v>
      </c>
      <c r="D557" s="328"/>
      <c r="E557" s="328"/>
      <c r="F557" s="614"/>
      <c r="G557" s="448"/>
      <c r="H557" s="328"/>
      <c r="I557" s="328"/>
      <c r="J557" s="637">
        <f t="shared" ref="J557:AA557" si="348">SUM(J558)</f>
        <v>190000</v>
      </c>
      <c r="K557" s="637">
        <f t="shared" si="348"/>
        <v>0</v>
      </c>
      <c r="L557" s="637">
        <f t="shared" si="348"/>
        <v>0</v>
      </c>
      <c r="M557" s="637">
        <f t="shared" si="348"/>
        <v>190000</v>
      </c>
      <c r="N557" s="637">
        <f t="shared" si="348"/>
        <v>41056</v>
      </c>
      <c r="O557" s="637">
        <f t="shared" si="348"/>
        <v>0</v>
      </c>
      <c r="P557" s="637">
        <f t="shared" si="348"/>
        <v>0</v>
      </c>
      <c r="Q557" s="637">
        <f t="shared" si="348"/>
        <v>41056</v>
      </c>
      <c r="R557" s="637">
        <f t="shared" si="348"/>
        <v>41056</v>
      </c>
      <c r="S557" s="637">
        <f t="shared" si="348"/>
        <v>0</v>
      </c>
      <c r="T557" s="637">
        <f t="shared" si="348"/>
        <v>0</v>
      </c>
      <c r="U557" s="637">
        <f t="shared" si="348"/>
        <v>41056</v>
      </c>
      <c r="V557" s="637">
        <f t="shared" si="348"/>
        <v>148944</v>
      </c>
      <c r="W557" s="637">
        <f t="shared" si="348"/>
        <v>70000</v>
      </c>
      <c r="X557" s="637">
        <f t="shared" si="348"/>
        <v>0</v>
      </c>
      <c r="Y557" s="637">
        <f t="shared" si="348"/>
        <v>70000</v>
      </c>
      <c r="Z557" s="637">
        <f t="shared" si="348"/>
        <v>0</v>
      </c>
      <c r="AA557" s="637">
        <f t="shared" si="348"/>
        <v>0</v>
      </c>
      <c r="AB557" s="638"/>
      <c r="AC557" s="380">
        <f t="shared" si="338"/>
        <v>0</v>
      </c>
    </row>
    <row r="558" spans="1:36" s="8" customFormat="1" ht="69" customHeight="1">
      <c r="A558" s="430" t="s">
        <v>144</v>
      </c>
      <c r="B558" s="42" t="s">
        <v>733</v>
      </c>
      <c r="C558" s="42" t="s">
        <v>732</v>
      </c>
      <c r="D558" s="13">
        <v>7957214</v>
      </c>
      <c r="E558" s="13"/>
      <c r="F558" s="37" t="s">
        <v>734</v>
      </c>
      <c r="G558" s="316" t="s">
        <v>735</v>
      </c>
      <c r="H558" s="13" t="s">
        <v>48</v>
      </c>
      <c r="I558" s="13" t="s">
        <v>736</v>
      </c>
      <c r="J558" s="38">
        <v>190000</v>
      </c>
      <c r="K558" s="38"/>
      <c r="L558" s="12"/>
      <c r="M558" s="16">
        <v>190000</v>
      </c>
      <c r="N558" s="12">
        <v>41056</v>
      </c>
      <c r="O558" s="12"/>
      <c r="P558" s="12"/>
      <c r="Q558" s="12">
        <v>41056</v>
      </c>
      <c r="R558" s="12">
        <v>41056</v>
      </c>
      <c r="S558" s="12"/>
      <c r="T558" s="12"/>
      <c r="U558" s="12">
        <v>41056</v>
      </c>
      <c r="V558" s="407">
        <v>148944</v>
      </c>
      <c r="W558" s="12">
        <f>SUM(X558:AA558)</f>
        <v>70000</v>
      </c>
      <c r="X558" s="12"/>
      <c r="Y558" s="12">
        <v>70000</v>
      </c>
      <c r="Z558" s="12"/>
      <c r="AA558" s="12"/>
      <c r="AB558" s="108" t="s">
        <v>1639</v>
      </c>
      <c r="AC558" s="380">
        <f t="shared" si="338"/>
        <v>0</v>
      </c>
      <c r="AJ558" s="8" t="s">
        <v>685</v>
      </c>
    </row>
    <row r="559" spans="1:36" s="10" customFormat="1" ht="40.5" customHeight="1">
      <c r="A559" s="398" t="s">
        <v>1306</v>
      </c>
      <c r="B559" s="413" t="s">
        <v>1307</v>
      </c>
      <c r="C559" s="42" t="s">
        <v>732</v>
      </c>
      <c r="D559" s="328"/>
      <c r="E559" s="328"/>
      <c r="F559" s="614"/>
      <c r="G559" s="448"/>
      <c r="H559" s="328"/>
      <c r="I559" s="328"/>
      <c r="J559" s="637"/>
      <c r="K559" s="637"/>
      <c r="L559" s="637"/>
      <c r="M559" s="637"/>
      <c r="N559" s="637"/>
      <c r="O559" s="637"/>
      <c r="P559" s="637"/>
      <c r="Q559" s="637"/>
      <c r="R559" s="637"/>
      <c r="S559" s="637"/>
      <c r="T559" s="637"/>
      <c r="U559" s="637"/>
      <c r="V559" s="637"/>
      <c r="W559" s="637"/>
      <c r="X559" s="637"/>
      <c r="Y559" s="637"/>
      <c r="Z559" s="637"/>
      <c r="AA559" s="637"/>
      <c r="AB559" s="638"/>
      <c r="AC559" s="380">
        <f t="shared" si="338"/>
        <v>0</v>
      </c>
    </row>
    <row r="560" spans="1:36" s="8" customFormat="1" ht="33.75" customHeight="1">
      <c r="A560" s="426" t="s">
        <v>1365</v>
      </c>
      <c r="B560" s="312" t="s">
        <v>738</v>
      </c>
      <c r="C560" s="312" t="s">
        <v>738</v>
      </c>
      <c r="D560" s="13"/>
      <c r="E560" s="13"/>
      <c r="F560" s="37"/>
      <c r="G560" s="316"/>
      <c r="H560" s="13"/>
      <c r="I560" s="13"/>
      <c r="J560" s="667">
        <f t="shared" ref="J560:AA560" si="349">J561</f>
        <v>3529</v>
      </c>
      <c r="K560" s="667">
        <f t="shared" si="349"/>
        <v>0</v>
      </c>
      <c r="L560" s="667">
        <f t="shared" si="349"/>
        <v>0</v>
      </c>
      <c r="M560" s="667">
        <f t="shared" si="349"/>
        <v>3529</v>
      </c>
      <c r="N560" s="667">
        <f t="shared" si="349"/>
        <v>1000</v>
      </c>
      <c r="O560" s="667">
        <f t="shared" si="349"/>
        <v>0</v>
      </c>
      <c r="P560" s="667">
        <f t="shared" si="349"/>
        <v>0</v>
      </c>
      <c r="Q560" s="667">
        <f t="shared" si="349"/>
        <v>1000</v>
      </c>
      <c r="R560" s="667">
        <f t="shared" si="349"/>
        <v>1000</v>
      </c>
      <c r="S560" s="667">
        <f t="shared" si="349"/>
        <v>0</v>
      </c>
      <c r="T560" s="667">
        <f t="shared" si="349"/>
        <v>0</v>
      </c>
      <c r="U560" s="667">
        <f t="shared" si="349"/>
        <v>1000</v>
      </c>
      <c r="V560" s="667">
        <f t="shared" si="349"/>
        <v>2300</v>
      </c>
      <c r="W560" s="667">
        <f t="shared" si="349"/>
        <v>2300</v>
      </c>
      <c r="X560" s="667">
        <f t="shared" si="349"/>
        <v>0</v>
      </c>
      <c r="Y560" s="667">
        <f t="shared" si="349"/>
        <v>2300</v>
      </c>
      <c r="Z560" s="667">
        <f t="shared" si="349"/>
        <v>0</v>
      </c>
      <c r="AA560" s="667">
        <f t="shared" si="349"/>
        <v>0</v>
      </c>
      <c r="AB560" s="668"/>
      <c r="AC560" s="380">
        <f t="shared" si="338"/>
        <v>0</v>
      </c>
    </row>
    <row r="561" spans="1:36" s="10" customFormat="1" ht="28.5" customHeight="1">
      <c r="A561" s="495" t="s">
        <v>1366</v>
      </c>
      <c r="B561" s="617" t="s">
        <v>38</v>
      </c>
      <c r="C561" s="42" t="s">
        <v>738</v>
      </c>
      <c r="D561" s="328"/>
      <c r="E561" s="328"/>
      <c r="F561" s="614"/>
      <c r="G561" s="448"/>
      <c r="H561" s="328"/>
      <c r="I561" s="328"/>
      <c r="J561" s="669">
        <f>J562+J563+J565</f>
        <v>3529</v>
      </c>
      <c r="K561" s="669">
        <f t="shared" ref="K561:AA561" si="350">K562+K563+K565</f>
        <v>0</v>
      </c>
      <c r="L561" s="669">
        <f t="shared" si="350"/>
        <v>0</v>
      </c>
      <c r="M561" s="669">
        <f t="shared" si="350"/>
        <v>3529</v>
      </c>
      <c r="N561" s="669">
        <f t="shared" si="350"/>
        <v>1000</v>
      </c>
      <c r="O561" s="669">
        <f t="shared" si="350"/>
        <v>0</v>
      </c>
      <c r="P561" s="669">
        <f t="shared" si="350"/>
        <v>0</v>
      </c>
      <c r="Q561" s="669">
        <f t="shared" si="350"/>
        <v>1000</v>
      </c>
      <c r="R561" s="669">
        <f t="shared" si="350"/>
        <v>1000</v>
      </c>
      <c r="S561" s="669">
        <f t="shared" si="350"/>
        <v>0</v>
      </c>
      <c r="T561" s="669">
        <f t="shared" si="350"/>
        <v>0</v>
      </c>
      <c r="U561" s="669">
        <f t="shared" si="350"/>
        <v>1000</v>
      </c>
      <c r="V561" s="669">
        <f t="shared" si="350"/>
        <v>2300</v>
      </c>
      <c r="W561" s="669">
        <f t="shared" si="350"/>
        <v>2300</v>
      </c>
      <c r="X561" s="669">
        <f t="shared" si="350"/>
        <v>0</v>
      </c>
      <c r="Y561" s="669">
        <f t="shared" si="350"/>
        <v>2300</v>
      </c>
      <c r="Z561" s="669">
        <f t="shared" si="350"/>
        <v>0</v>
      </c>
      <c r="AA561" s="669">
        <f t="shared" si="350"/>
        <v>0</v>
      </c>
      <c r="AB561" s="670"/>
      <c r="AC561" s="380">
        <f t="shared" si="338"/>
        <v>0</v>
      </c>
    </row>
    <row r="562" spans="1:36" s="10" customFormat="1" ht="39.75" customHeight="1">
      <c r="A562" s="332" t="s">
        <v>39</v>
      </c>
      <c r="B562" s="326" t="s">
        <v>1254</v>
      </c>
      <c r="C562" s="42" t="s">
        <v>738</v>
      </c>
      <c r="D562" s="554"/>
      <c r="E562" s="332"/>
      <c r="F562" s="471"/>
      <c r="G562" s="471"/>
      <c r="H562" s="332"/>
      <c r="I562" s="471"/>
      <c r="J562" s="331"/>
      <c r="K562" s="331"/>
      <c r="L562" s="331"/>
      <c r="M562" s="331"/>
      <c r="N562" s="331"/>
      <c r="O562" s="331"/>
      <c r="P562" s="331"/>
      <c r="Q562" s="331"/>
      <c r="R562" s="331"/>
      <c r="S562" s="331"/>
      <c r="T562" s="331"/>
      <c r="U562" s="331"/>
      <c r="V562" s="331"/>
      <c r="W562" s="331"/>
      <c r="X562" s="331"/>
      <c r="Y562" s="331"/>
      <c r="Z562" s="331"/>
      <c r="AA562" s="331"/>
      <c r="AB562" s="332"/>
      <c r="AC562" s="380">
        <f t="shared" si="338"/>
        <v>0</v>
      </c>
    </row>
    <row r="563" spans="1:36" s="10" customFormat="1" ht="49.5" customHeight="1">
      <c r="A563" s="398" t="s">
        <v>467</v>
      </c>
      <c r="B563" s="620" t="s">
        <v>56</v>
      </c>
      <c r="C563" s="42" t="s">
        <v>738</v>
      </c>
      <c r="D563" s="328"/>
      <c r="E563" s="328"/>
      <c r="F563" s="614"/>
      <c r="G563" s="448"/>
      <c r="H563" s="328"/>
      <c r="I563" s="328"/>
      <c r="J563" s="671">
        <f t="shared" ref="J563:AA563" si="351">SUM(J564)</f>
        <v>3529</v>
      </c>
      <c r="K563" s="671">
        <f t="shared" si="351"/>
        <v>0</v>
      </c>
      <c r="L563" s="671">
        <f t="shared" si="351"/>
        <v>0</v>
      </c>
      <c r="M563" s="671">
        <f t="shared" si="351"/>
        <v>3529</v>
      </c>
      <c r="N563" s="671">
        <f t="shared" si="351"/>
        <v>1000</v>
      </c>
      <c r="O563" s="671">
        <f t="shared" si="351"/>
        <v>0</v>
      </c>
      <c r="P563" s="671">
        <f t="shared" si="351"/>
        <v>0</v>
      </c>
      <c r="Q563" s="671">
        <f t="shared" si="351"/>
        <v>1000</v>
      </c>
      <c r="R563" s="671">
        <f t="shared" si="351"/>
        <v>1000</v>
      </c>
      <c r="S563" s="671">
        <f t="shared" si="351"/>
        <v>0</v>
      </c>
      <c r="T563" s="671">
        <f t="shared" si="351"/>
        <v>0</v>
      </c>
      <c r="U563" s="671">
        <f t="shared" si="351"/>
        <v>1000</v>
      </c>
      <c r="V563" s="671">
        <f t="shared" si="351"/>
        <v>2300</v>
      </c>
      <c r="W563" s="671">
        <f t="shared" si="351"/>
        <v>2300</v>
      </c>
      <c r="X563" s="671">
        <f t="shared" si="351"/>
        <v>0</v>
      </c>
      <c r="Y563" s="671">
        <f t="shared" si="351"/>
        <v>2300</v>
      </c>
      <c r="Z563" s="671">
        <f t="shared" si="351"/>
        <v>0</v>
      </c>
      <c r="AA563" s="671">
        <f t="shared" si="351"/>
        <v>0</v>
      </c>
      <c r="AB563" s="672"/>
      <c r="AC563" s="380">
        <f t="shared" si="338"/>
        <v>0</v>
      </c>
    </row>
    <row r="564" spans="1:36" s="8" customFormat="1" ht="60" customHeight="1">
      <c r="A564" s="430" t="s">
        <v>144</v>
      </c>
      <c r="B564" s="15" t="s">
        <v>739</v>
      </c>
      <c r="C564" s="42" t="s">
        <v>738</v>
      </c>
      <c r="D564" s="20">
        <v>8147018</v>
      </c>
      <c r="E564" s="20"/>
      <c r="F564" s="20" t="s">
        <v>740</v>
      </c>
      <c r="G564" s="13" t="s">
        <v>741</v>
      </c>
      <c r="H564" s="20" t="s">
        <v>244</v>
      </c>
      <c r="I564" s="20" t="s">
        <v>742</v>
      </c>
      <c r="J564" s="12">
        <v>3529</v>
      </c>
      <c r="K564" s="12"/>
      <c r="L564" s="12"/>
      <c r="M564" s="12">
        <v>3529</v>
      </c>
      <c r="N564" s="12">
        <v>1000</v>
      </c>
      <c r="O564" s="12"/>
      <c r="P564" s="12"/>
      <c r="Q564" s="12">
        <v>1000</v>
      </c>
      <c r="R564" s="12">
        <v>1000</v>
      </c>
      <c r="S564" s="12"/>
      <c r="T564" s="12"/>
      <c r="U564" s="12">
        <v>1000</v>
      </c>
      <c r="V564" s="12">
        <v>2300</v>
      </c>
      <c r="W564" s="12">
        <f>SUM(X564:AA564)</f>
        <v>2300</v>
      </c>
      <c r="X564" s="12"/>
      <c r="Y564" s="12">
        <v>2300</v>
      </c>
      <c r="Z564" s="12"/>
      <c r="AA564" s="12"/>
      <c r="AB564" s="91" t="s">
        <v>1622</v>
      </c>
      <c r="AC564" s="380">
        <f t="shared" si="338"/>
        <v>0</v>
      </c>
      <c r="AJ564" s="8" t="s">
        <v>685</v>
      </c>
    </row>
    <row r="565" spans="1:36" s="10" customFormat="1" ht="40.5" customHeight="1">
      <c r="A565" s="398" t="s">
        <v>1306</v>
      </c>
      <c r="B565" s="413" t="s">
        <v>1307</v>
      </c>
      <c r="C565" s="42" t="s">
        <v>738</v>
      </c>
      <c r="D565" s="328"/>
      <c r="E565" s="328"/>
      <c r="F565" s="614"/>
      <c r="G565" s="448"/>
      <c r="H565" s="328"/>
      <c r="I565" s="328"/>
      <c r="J565" s="637"/>
      <c r="K565" s="637"/>
      <c r="L565" s="637"/>
      <c r="M565" s="637"/>
      <c r="N565" s="637"/>
      <c r="O565" s="637"/>
      <c r="P565" s="637"/>
      <c r="Q565" s="637"/>
      <c r="R565" s="637"/>
      <c r="S565" s="637"/>
      <c r="T565" s="637"/>
      <c r="U565" s="637"/>
      <c r="V565" s="637"/>
      <c r="W565" s="637"/>
      <c r="X565" s="637"/>
      <c r="Y565" s="637"/>
      <c r="Z565" s="637"/>
      <c r="AA565" s="637"/>
      <c r="AB565" s="638"/>
      <c r="AC565" s="380">
        <f t="shared" si="338"/>
        <v>0</v>
      </c>
    </row>
    <row r="566" spans="1:36" s="8" customFormat="1" ht="45.75" customHeight="1">
      <c r="A566" s="426" t="s">
        <v>1367</v>
      </c>
      <c r="B566" s="312" t="s">
        <v>1208</v>
      </c>
      <c r="C566" s="312" t="s">
        <v>1208</v>
      </c>
      <c r="D566" s="20"/>
      <c r="E566" s="20"/>
      <c r="F566" s="20"/>
      <c r="G566" s="13"/>
      <c r="H566" s="20"/>
      <c r="I566" s="20"/>
      <c r="J566" s="14">
        <f t="shared" ref="J566:Y566" si="352">+J567</f>
        <v>17300</v>
      </c>
      <c r="K566" s="14">
        <f t="shared" si="352"/>
        <v>0</v>
      </c>
      <c r="L566" s="14">
        <f t="shared" si="352"/>
        <v>0</v>
      </c>
      <c r="M566" s="14">
        <f t="shared" si="352"/>
        <v>17300</v>
      </c>
      <c r="N566" s="14">
        <f t="shared" si="352"/>
        <v>0</v>
      </c>
      <c r="O566" s="14">
        <f t="shared" si="352"/>
        <v>0</v>
      </c>
      <c r="P566" s="14">
        <f t="shared" si="352"/>
        <v>0</v>
      </c>
      <c r="Q566" s="14">
        <f t="shared" si="352"/>
        <v>0</v>
      </c>
      <c r="R566" s="14">
        <f t="shared" si="352"/>
        <v>0</v>
      </c>
      <c r="S566" s="14">
        <f t="shared" si="352"/>
        <v>0</v>
      </c>
      <c r="T566" s="14">
        <f t="shared" si="352"/>
        <v>0</v>
      </c>
      <c r="U566" s="14">
        <f t="shared" si="352"/>
        <v>0</v>
      </c>
      <c r="V566" s="14">
        <f t="shared" si="352"/>
        <v>783</v>
      </c>
      <c r="W566" s="14">
        <f t="shared" si="352"/>
        <v>783</v>
      </c>
      <c r="X566" s="14">
        <f t="shared" si="352"/>
        <v>783</v>
      </c>
      <c r="Y566" s="14">
        <f t="shared" si="352"/>
        <v>0</v>
      </c>
      <c r="Z566" s="14">
        <f t="shared" ref="Z566:AA566" si="353">+Z567</f>
        <v>0</v>
      </c>
      <c r="AA566" s="14">
        <f t="shared" si="353"/>
        <v>0</v>
      </c>
      <c r="AB566" s="102">
        <f>+SUM(AB569:AB572)</f>
        <v>0</v>
      </c>
      <c r="AC566" s="380">
        <f t="shared" si="338"/>
        <v>0</v>
      </c>
    </row>
    <row r="567" spans="1:36" s="10" customFormat="1" ht="28.5" customHeight="1">
      <c r="A567" s="495" t="s">
        <v>1368</v>
      </c>
      <c r="B567" s="617" t="s">
        <v>38</v>
      </c>
      <c r="C567" s="42" t="s">
        <v>1208</v>
      </c>
      <c r="D567" s="328"/>
      <c r="E567" s="328"/>
      <c r="F567" s="614"/>
      <c r="G567" s="448"/>
      <c r="H567" s="328"/>
      <c r="I567" s="328"/>
      <c r="J567" s="669">
        <f>J568+J574+J575</f>
        <v>17300</v>
      </c>
      <c r="K567" s="669">
        <f t="shared" ref="K567:AA567" si="354">K568+K574+K575</f>
        <v>0</v>
      </c>
      <c r="L567" s="669">
        <f t="shared" si="354"/>
        <v>0</v>
      </c>
      <c r="M567" s="669">
        <f t="shared" si="354"/>
        <v>17300</v>
      </c>
      <c r="N567" s="669">
        <f t="shared" si="354"/>
        <v>0</v>
      </c>
      <c r="O567" s="669">
        <f t="shared" si="354"/>
        <v>0</v>
      </c>
      <c r="P567" s="669">
        <f t="shared" si="354"/>
        <v>0</v>
      </c>
      <c r="Q567" s="669">
        <f t="shared" si="354"/>
        <v>0</v>
      </c>
      <c r="R567" s="669">
        <f t="shared" si="354"/>
        <v>0</v>
      </c>
      <c r="S567" s="669">
        <f t="shared" si="354"/>
        <v>0</v>
      </c>
      <c r="T567" s="669">
        <f t="shared" si="354"/>
        <v>0</v>
      </c>
      <c r="U567" s="669">
        <f t="shared" si="354"/>
        <v>0</v>
      </c>
      <c r="V567" s="669">
        <f t="shared" si="354"/>
        <v>783</v>
      </c>
      <c r="W567" s="669">
        <f t="shared" si="354"/>
        <v>783</v>
      </c>
      <c r="X567" s="669">
        <f t="shared" si="354"/>
        <v>783</v>
      </c>
      <c r="Y567" s="669">
        <f t="shared" si="354"/>
        <v>0</v>
      </c>
      <c r="Z567" s="669">
        <f t="shared" si="354"/>
        <v>0</v>
      </c>
      <c r="AA567" s="669">
        <f t="shared" si="354"/>
        <v>0</v>
      </c>
      <c r="AB567" s="670"/>
      <c r="AC567" s="380">
        <f t="shared" si="338"/>
        <v>0</v>
      </c>
    </row>
    <row r="568" spans="1:36" s="10" customFormat="1" ht="39.75" customHeight="1">
      <c r="A568" s="332" t="s">
        <v>39</v>
      </c>
      <c r="B568" s="326" t="s">
        <v>1254</v>
      </c>
      <c r="C568" s="42" t="s">
        <v>1208</v>
      </c>
      <c r="D568" s="554"/>
      <c r="E568" s="332"/>
      <c r="F568" s="471"/>
      <c r="G568" s="471"/>
      <c r="H568" s="332"/>
      <c r="I568" s="471"/>
      <c r="J568" s="331">
        <f t="shared" ref="J568:AA568" si="355">+SUM(J569:J573)</f>
        <v>17300</v>
      </c>
      <c r="K568" s="331">
        <f t="shared" si="355"/>
        <v>0</v>
      </c>
      <c r="L568" s="331">
        <f t="shared" si="355"/>
        <v>0</v>
      </c>
      <c r="M568" s="331">
        <f t="shared" si="355"/>
        <v>17300</v>
      </c>
      <c r="N568" s="331">
        <f t="shared" si="355"/>
        <v>0</v>
      </c>
      <c r="O568" s="331">
        <f t="shared" si="355"/>
        <v>0</v>
      </c>
      <c r="P568" s="331">
        <f t="shared" si="355"/>
        <v>0</v>
      </c>
      <c r="Q568" s="331">
        <f t="shared" si="355"/>
        <v>0</v>
      </c>
      <c r="R568" s="331">
        <f t="shared" si="355"/>
        <v>0</v>
      </c>
      <c r="S568" s="331">
        <f t="shared" si="355"/>
        <v>0</v>
      </c>
      <c r="T568" s="331">
        <f t="shared" si="355"/>
        <v>0</v>
      </c>
      <c r="U568" s="331">
        <f t="shared" si="355"/>
        <v>0</v>
      </c>
      <c r="V568" s="331">
        <f t="shared" si="355"/>
        <v>783</v>
      </c>
      <c r="W568" s="331">
        <f t="shared" si="355"/>
        <v>783</v>
      </c>
      <c r="X568" s="331">
        <f t="shared" si="355"/>
        <v>783</v>
      </c>
      <c r="Y568" s="331">
        <f t="shared" si="355"/>
        <v>0</v>
      </c>
      <c r="Z568" s="331">
        <f t="shared" si="355"/>
        <v>0</v>
      </c>
      <c r="AA568" s="331">
        <f t="shared" si="355"/>
        <v>0</v>
      </c>
      <c r="AB568" s="332"/>
      <c r="AC568" s="380">
        <f t="shared" si="338"/>
        <v>0</v>
      </c>
    </row>
    <row r="569" spans="1:36" s="8" customFormat="1" ht="60.75" customHeight="1">
      <c r="A569" s="426" t="s">
        <v>144</v>
      </c>
      <c r="B569" s="42" t="s">
        <v>1209</v>
      </c>
      <c r="C569" s="42" t="s">
        <v>1208</v>
      </c>
      <c r="D569" s="20"/>
      <c r="E569" s="20"/>
      <c r="F569" s="20"/>
      <c r="G569" s="13"/>
      <c r="H569" s="20"/>
      <c r="I569" s="13" t="s">
        <v>1213</v>
      </c>
      <c r="J569" s="17">
        <v>5000</v>
      </c>
      <c r="K569" s="12"/>
      <c r="L569" s="12"/>
      <c r="M569" s="17">
        <v>5000</v>
      </c>
      <c r="N569" s="12"/>
      <c r="O569" s="12"/>
      <c r="P569" s="12"/>
      <c r="Q569" s="12"/>
      <c r="R569" s="12"/>
      <c r="S569" s="12"/>
      <c r="T569" s="12"/>
      <c r="U569" s="12"/>
      <c r="V569" s="43">
        <v>45</v>
      </c>
      <c r="W569" s="43">
        <f>SUM(X569:AA569)</f>
        <v>45</v>
      </c>
      <c r="X569" s="43">
        <v>45</v>
      </c>
      <c r="Y569" s="43"/>
      <c r="Z569" s="43"/>
      <c r="AA569" s="43"/>
      <c r="AB569" s="13" t="s">
        <v>1217</v>
      </c>
      <c r="AC569" s="380">
        <f t="shared" si="338"/>
        <v>0</v>
      </c>
      <c r="AJ569" s="555" t="s">
        <v>1308</v>
      </c>
    </row>
    <row r="570" spans="1:36" s="8" customFormat="1" ht="71.25" customHeight="1">
      <c r="A570" s="426" t="s">
        <v>144</v>
      </c>
      <c r="B570" s="42" t="s">
        <v>1210</v>
      </c>
      <c r="C570" s="42" t="s">
        <v>1208</v>
      </c>
      <c r="D570" s="20"/>
      <c r="E570" s="20"/>
      <c r="F570" s="20"/>
      <c r="G570" s="13"/>
      <c r="H570" s="20"/>
      <c r="I570" s="13" t="s">
        <v>1214</v>
      </c>
      <c r="J570" s="17">
        <v>4900</v>
      </c>
      <c r="K570" s="12"/>
      <c r="L570" s="12"/>
      <c r="M570" s="17">
        <v>4900</v>
      </c>
      <c r="N570" s="12"/>
      <c r="O570" s="12"/>
      <c r="P570" s="12"/>
      <c r="Q570" s="12"/>
      <c r="R570" s="12"/>
      <c r="S570" s="12"/>
      <c r="T570" s="12"/>
      <c r="U570" s="12"/>
      <c r="V570" s="43">
        <v>218</v>
      </c>
      <c r="W570" s="43">
        <f t="shared" ref="W570:W573" si="356">SUM(X570:AA570)</f>
        <v>218</v>
      </c>
      <c r="X570" s="43">
        <v>218</v>
      </c>
      <c r="Y570" s="43"/>
      <c r="Z570" s="43"/>
      <c r="AA570" s="43"/>
      <c r="AB570" s="13" t="s">
        <v>1218</v>
      </c>
      <c r="AC570" s="380">
        <f t="shared" si="338"/>
        <v>0</v>
      </c>
      <c r="AJ570" s="555" t="s">
        <v>1308</v>
      </c>
    </row>
    <row r="571" spans="1:36" s="8" customFormat="1" ht="63" customHeight="1">
      <c r="A571" s="426" t="s">
        <v>144</v>
      </c>
      <c r="B571" s="42" t="s">
        <v>1211</v>
      </c>
      <c r="C571" s="42" t="s">
        <v>1208</v>
      </c>
      <c r="D571" s="20"/>
      <c r="E571" s="20"/>
      <c r="F571" s="20"/>
      <c r="G571" s="13"/>
      <c r="H571" s="20"/>
      <c r="I571" s="13" t="s">
        <v>1215</v>
      </c>
      <c r="J571" s="17">
        <v>4900</v>
      </c>
      <c r="K571" s="12"/>
      <c r="L571" s="12"/>
      <c r="M571" s="17">
        <v>4900</v>
      </c>
      <c r="N571" s="12"/>
      <c r="O571" s="12"/>
      <c r="P571" s="12"/>
      <c r="Q571" s="12"/>
      <c r="R571" s="12"/>
      <c r="S571" s="12"/>
      <c r="T571" s="12"/>
      <c r="U571" s="12"/>
      <c r="V571" s="43">
        <v>438</v>
      </c>
      <c r="W571" s="43">
        <f t="shared" si="356"/>
        <v>438</v>
      </c>
      <c r="X571" s="43">
        <v>438</v>
      </c>
      <c r="Y571" s="43"/>
      <c r="Z571" s="43"/>
      <c r="AA571" s="43"/>
      <c r="AB571" s="13" t="s">
        <v>1219</v>
      </c>
      <c r="AC571" s="380">
        <f t="shared" si="338"/>
        <v>0</v>
      </c>
      <c r="AJ571" s="555" t="s">
        <v>1308</v>
      </c>
    </row>
    <row r="572" spans="1:36" s="8" customFormat="1" ht="69" customHeight="1">
      <c r="A572" s="426" t="s">
        <v>144</v>
      </c>
      <c r="B572" s="42" t="s">
        <v>1212</v>
      </c>
      <c r="C572" s="42" t="s">
        <v>1208</v>
      </c>
      <c r="D572" s="20"/>
      <c r="E572" s="20"/>
      <c r="F572" s="20"/>
      <c r="G572" s="13"/>
      <c r="H572" s="20"/>
      <c r="I572" s="13" t="s">
        <v>1216</v>
      </c>
      <c r="J572" s="17">
        <v>2500</v>
      </c>
      <c r="K572" s="12"/>
      <c r="L572" s="12"/>
      <c r="M572" s="17">
        <v>2500</v>
      </c>
      <c r="N572" s="12"/>
      <c r="O572" s="12"/>
      <c r="P572" s="12"/>
      <c r="Q572" s="12"/>
      <c r="R572" s="12"/>
      <c r="S572" s="12"/>
      <c r="T572" s="12"/>
      <c r="U572" s="12"/>
      <c r="V572" s="43">
        <v>7</v>
      </c>
      <c r="W572" s="43">
        <f t="shared" si="356"/>
        <v>7</v>
      </c>
      <c r="X572" s="43">
        <v>7</v>
      </c>
      <c r="Y572" s="43"/>
      <c r="Z572" s="43"/>
      <c r="AA572" s="43"/>
      <c r="AB572" s="13" t="s">
        <v>1220</v>
      </c>
      <c r="AC572" s="380">
        <f t="shared" si="338"/>
        <v>0</v>
      </c>
      <c r="AJ572" s="555" t="s">
        <v>1308</v>
      </c>
    </row>
    <row r="573" spans="1:36" s="8" customFormat="1" ht="59.25" customHeight="1">
      <c r="A573" s="426" t="s">
        <v>144</v>
      </c>
      <c r="B573" s="42" t="s">
        <v>1251</v>
      </c>
      <c r="C573" s="42" t="s">
        <v>1208</v>
      </c>
      <c r="D573" s="13">
        <v>7980714</v>
      </c>
      <c r="E573" s="20"/>
      <c r="F573" s="20"/>
      <c r="G573" s="13"/>
      <c r="H573" s="20"/>
      <c r="I573" s="13"/>
      <c r="J573" s="17"/>
      <c r="K573" s="12"/>
      <c r="L573" s="12"/>
      <c r="M573" s="17"/>
      <c r="N573" s="12"/>
      <c r="O573" s="12"/>
      <c r="P573" s="12"/>
      <c r="Q573" s="12"/>
      <c r="R573" s="12"/>
      <c r="S573" s="12"/>
      <c r="T573" s="12"/>
      <c r="U573" s="12"/>
      <c r="V573" s="96">
        <v>75</v>
      </c>
      <c r="W573" s="43">
        <f t="shared" si="356"/>
        <v>75</v>
      </c>
      <c r="X573" s="96">
        <v>75</v>
      </c>
      <c r="Y573" s="96"/>
      <c r="Z573" s="96"/>
      <c r="AA573" s="96"/>
      <c r="AB573" s="662" t="s">
        <v>1252</v>
      </c>
      <c r="AC573" s="380">
        <f t="shared" si="338"/>
        <v>0</v>
      </c>
      <c r="AJ573" s="555" t="s">
        <v>1308</v>
      </c>
    </row>
    <row r="574" spans="1:36" s="10" customFormat="1" ht="45" customHeight="1">
      <c r="A574" s="398" t="s">
        <v>467</v>
      </c>
      <c r="B574" s="620" t="s">
        <v>56</v>
      </c>
      <c r="C574" s="42" t="s">
        <v>1208</v>
      </c>
      <c r="D574" s="328"/>
      <c r="E574" s="328"/>
      <c r="F574" s="614"/>
      <c r="G574" s="448"/>
      <c r="H574" s="328"/>
      <c r="I574" s="328"/>
      <c r="J574" s="671"/>
      <c r="K574" s="671"/>
      <c r="L574" s="671"/>
      <c r="M574" s="671"/>
      <c r="N574" s="671"/>
      <c r="O574" s="671"/>
      <c r="P574" s="671"/>
      <c r="Q574" s="671"/>
      <c r="R574" s="671"/>
      <c r="S574" s="671"/>
      <c r="T574" s="671"/>
      <c r="U574" s="671"/>
      <c r="V574" s="671"/>
      <c r="W574" s="671"/>
      <c r="X574" s="671"/>
      <c r="Y574" s="671"/>
      <c r="Z574" s="671"/>
      <c r="AA574" s="671"/>
      <c r="AB574" s="672"/>
      <c r="AC574" s="380">
        <f t="shared" si="338"/>
        <v>0</v>
      </c>
    </row>
    <row r="575" spans="1:36" s="10" customFormat="1" ht="40.5" customHeight="1">
      <c r="A575" s="398" t="s">
        <v>1306</v>
      </c>
      <c r="B575" s="413" t="s">
        <v>1307</v>
      </c>
      <c r="C575" s="42" t="s">
        <v>1208</v>
      </c>
      <c r="D575" s="328"/>
      <c r="E575" s="328"/>
      <c r="F575" s="614"/>
      <c r="G575" s="448"/>
      <c r="H575" s="328"/>
      <c r="I575" s="328"/>
      <c r="J575" s="637"/>
      <c r="K575" s="637"/>
      <c r="L575" s="637"/>
      <c r="M575" s="637"/>
      <c r="N575" s="637"/>
      <c r="O575" s="637"/>
      <c r="P575" s="637"/>
      <c r="Q575" s="637"/>
      <c r="R575" s="637"/>
      <c r="S575" s="637"/>
      <c r="T575" s="637"/>
      <c r="U575" s="637"/>
      <c r="V575" s="637"/>
      <c r="W575" s="637"/>
      <c r="X575" s="637"/>
      <c r="Y575" s="637"/>
      <c r="Z575" s="637"/>
      <c r="AA575" s="637"/>
      <c r="AB575" s="638"/>
      <c r="AC575" s="380">
        <f t="shared" si="338"/>
        <v>0</v>
      </c>
    </row>
    <row r="576" spans="1:36" s="231" customFormat="1" ht="40.5" customHeight="1">
      <c r="A576" s="426" t="s">
        <v>1852</v>
      </c>
      <c r="B576" s="317" t="s">
        <v>857</v>
      </c>
      <c r="C576" s="312"/>
      <c r="D576" s="320"/>
      <c r="E576" s="320"/>
      <c r="F576" s="628"/>
      <c r="G576" s="629"/>
      <c r="H576" s="320"/>
      <c r="I576" s="320"/>
      <c r="J576" s="630">
        <f>+J578</f>
        <v>12000</v>
      </c>
      <c r="K576" s="630">
        <f t="shared" ref="K576:AA576" si="357">+K578</f>
        <v>0</v>
      </c>
      <c r="L576" s="630">
        <f t="shared" si="357"/>
        <v>0</v>
      </c>
      <c r="M576" s="630">
        <f t="shared" si="357"/>
        <v>12000</v>
      </c>
      <c r="N576" s="630">
        <f t="shared" si="357"/>
        <v>8000</v>
      </c>
      <c r="O576" s="630">
        <f t="shared" si="357"/>
        <v>0</v>
      </c>
      <c r="P576" s="630">
        <f t="shared" si="357"/>
        <v>0</v>
      </c>
      <c r="Q576" s="630">
        <f t="shared" si="357"/>
        <v>8000</v>
      </c>
      <c r="R576" s="630">
        <f t="shared" si="357"/>
        <v>7200</v>
      </c>
      <c r="S576" s="630">
        <f t="shared" si="357"/>
        <v>0</v>
      </c>
      <c r="T576" s="630">
        <f t="shared" si="357"/>
        <v>0</v>
      </c>
      <c r="U576" s="630">
        <f t="shared" si="357"/>
        <v>7200</v>
      </c>
      <c r="V576" s="630">
        <f t="shared" si="357"/>
        <v>4800</v>
      </c>
      <c r="W576" s="630">
        <f t="shared" si="357"/>
        <v>4800</v>
      </c>
      <c r="X576" s="630">
        <f t="shared" si="357"/>
        <v>4800</v>
      </c>
      <c r="Y576" s="630">
        <f t="shared" si="357"/>
        <v>0</v>
      </c>
      <c r="Z576" s="630">
        <f t="shared" si="357"/>
        <v>0</v>
      </c>
      <c r="AA576" s="630">
        <f t="shared" si="357"/>
        <v>0</v>
      </c>
      <c r="AB576" s="631"/>
      <c r="AC576" s="602"/>
    </row>
    <row r="577" spans="1:43" s="10" customFormat="1" ht="40.5" customHeight="1">
      <c r="A577" s="398" t="s">
        <v>39</v>
      </c>
      <c r="B577" s="326" t="s">
        <v>1254</v>
      </c>
      <c r="C577" s="42"/>
      <c r="D577" s="328"/>
      <c r="E577" s="328"/>
      <c r="F577" s="614"/>
      <c r="G577" s="448"/>
      <c r="H577" s="328"/>
      <c r="I577" s="328"/>
      <c r="J577" s="637"/>
      <c r="K577" s="637"/>
      <c r="L577" s="637"/>
      <c r="M577" s="637"/>
      <c r="N577" s="637"/>
      <c r="O577" s="637"/>
      <c r="P577" s="637"/>
      <c r="Q577" s="637"/>
      <c r="R577" s="637"/>
      <c r="S577" s="637"/>
      <c r="T577" s="637"/>
      <c r="U577" s="637"/>
      <c r="V577" s="637"/>
      <c r="W577" s="637"/>
      <c r="X577" s="637"/>
      <c r="Y577" s="637"/>
      <c r="Z577" s="637"/>
      <c r="AA577" s="637"/>
      <c r="AB577" s="638"/>
      <c r="AC577" s="380"/>
    </row>
    <row r="578" spans="1:43" s="10" customFormat="1" ht="40.5" customHeight="1">
      <c r="A578" s="398" t="s">
        <v>467</v>
      </c>
      <c r="B578" s="620" t="s">
        <v>56</v>
      </c>
      <c r="C578" s="42"/>
      <c r="D578" s="328"/>
      <c r="E578" s="328"/>
      <c r="F578" s="614"/>
      <c r="G578" s="448"/>
      <c r="H578" s="328"/>
      <c r="I578" s="328"/>
      <c r="J578" s="637">
        <f>+J579+J580</f>
        <v>12000</v>
      </c>
      <c r="K578" s="637">
        <f t="shared" ref="K578:AA578" si="358">+K579+K580</f>
        <v>0</v>
      </c>
      <c r="L578" s="637">
        <f t="shared" si="358"/>
        <v>0</v>
      </c>
      <c r="M578" s="637">
        <f t="shared" si="358"/>
        <v>12000</v>
      </c>
      <c r="N578" s="637">
        <f t="shared" si="358"/>
        <v>8000</v>
      </c>
      <c r="O578" s="637">
        <f t="shared" si="358"/>
        <v>0</v>
      </c>
      <c r="P578" s="637">
        <f t="shared" si="358"/>
        <v>0</v>
      </c>
      <c r="Q578" s="637">
        <f t="shared" si="358"/>
        <v>8000</v>
      </c>
      <c r="R578" s="637">
        <f t="shared" si="358"/>
        <v>7200</v>
      </c>
      <c r="S578" s="637">
        <f t="shared" si="358"/>
        <v>0</v>
      </c>
      <c r="T578" s="637">
        <f t="shared" si="358"/>
        <v>0</v>
      </c>
      <c r="U578" s="637">
        <f t="shared" si="358"/>
        <v>7200</v>
      </c>
      <c r="V578" s="637">
        <f t="shared" si="358"/>
        <v>4800</v>
      </c>
      <c r="W578" s="637">
        <f t="shared" si="358"/>
        <v>4800</v>
      </c>
      <c r="X578" s="637">
        <f t="shared" si="358"/>
        <v>4800</v>
      </c>
      <c r="Y578" s="637">
        <f t="shared" si="358"/>
        <v>0</v>
      </c>
      <c r="Z578" s="637">
        <f t="shared" si="358"/>
        <v>0</v>
      </c>
      <c r="AA578" s="637">
        <f t="shared" si="358"/>
        <v>0</v>
      </c>
      <c r="AB578" s="638"/>
      <c r="AC578" s="380"/>
    </row>
    <row r="579" spans="1:43" s="10" customFormat="1" ht="63.75" customHeight="1">
      <c r="A579" s="112" t="s">
        <v>144</v>
      </c>
      <c r="B579" s="346" t="s">
        <v>1853</v>
      </c>
      <c r="C579" s="15"/>
      <c r="D579" s="347"/>
      <c r="E579" s="347"/>
      <c r="F579" s="313" t="s">
        <v>859</v>
      </c>
      <c r="G579" s="13"/>
      <c r="H579" s="347" t="s">
        <v>187</v>
      </c>
      <c r="I579" s="348" t="s">
        <v>1854</v>
      </c>
      <c r="J579" s="12">
        <v>5000</v>
      </c>
      <c r="K579" s="12"/>
      <c r="L579" s="12"/>
      <c r="M579" s="12">
        <f>J579</f>
        <v>5000</v>
      </c>
      <c r="N579" s="12">
        <v>5000</v>
      </c>
      <c r="O579" s="12"/>
      <c r="P579" s="12"/>
      <c r="Q579" s="12">
        <f>N579</f>
        <v>5000</v>
      </c>
      <c r="R579" s="12">
        <v>4200</v>
      </c>
      <c r="S579" s="12"/>
      <c r="T579" s="12"/>
      <c r="U579" s="12">
        <f>R579</f>
        <v>4200</v>
      </c>
      <c r="V579" s="44">
        <f>Q579-R579</f>
        <v>800</v>
      </c>
      <c r="W579" s="12">
        <f>V579</f>
        <v>800</v>
      </c>
      <c r="X579" s="12">
        <f>W579</f>
        <v>800</v>
      </c>
      <c r="Y579" s="12"/>
      <c r="Z579" s="12"/>
      <c r="AA579" s="12"/>
      <c r="AB579" s="349"/>
      <c r="AJ579" s="10" t="s">
        <v>1821</v>
      </c>
      <c r="AP579" s="339"/>
      <c r="AQ579" s="119"/>
    </row>
    <row r="580" spans="1:43" s="8" customFormat="1" ht="63.75" customHeight="1">
      <c r="A580" s="430" t="s">
        <v>144</v>
      </c>
      <c r="B580" s="315" t="s">
        <v>1855</v>
      </c>
      <c r="C580" s="42"/>
      <c r="D580" s="13"/>
      <c r="E580" s="13"/>
      <c r="F580" s="37" t="s">
        <v>859</v>
      </c>
      <c r="G580" s="316"/>
      <c r="H580" s="13"/>
      <c r="I580" s="13" t="s">
        <v>1856</v>
      </c>
      <c r="J580" s="38">
        <v>7000</v>
      </c>
      <c r="K580" s="38"/>
      <c r="L580" s="38"/>
      <c r="M580" s="38">
        <v>7000</v>
      </c>
      <c r="N580" s="38">
        <v>3000</v>
      </c>
      <c r="O580" s="38"/>
      <c r="P580" s="38"/>
      <c r="Q580" s="38">
        <v>3000</v>
      </c>
      <c r="R580" s="38">
        <v>3000</v>
      </c>
      <c r="S580" s="38"/>
      <c r="T580" s="38"/>
      <c r="U580" s="38">
        <v>3000</v>
      </c>
      <c r="V580" s="38">
        <v>4000</v>
      </c>
      <c r="W580" s="38">
        <v>4000</v>
      </c>
      <c r="X580" s="38">
        <v>4000</v>
      </c>
      <c r="Y580" s="38"/>
      <c r="Z580" s="38"/>
      <c r="AA580" s="38"/>
      <c r="AB580" s="636"/>
      <c r="AC580" s="380"/>
      <c r="AE580" s="8" t="s">
        <v>1859</v>
      </c>
      <c r="AF580" s="673">
        <f>+W586+265418+1583683</f>
        <v>2186384.15</v>
      </c>
      <c r="AG580" s="674">
        <f>5948335-1583683</f>
        <v>4364652</v>
      </c>
      <c r="AJ580" s="8" t="s">
        <v>1821</v>
      </c>
    </row>
    <row r="581" spans="1:43" s="8" customFormat="1" ht="21.75" customHeight="1">
      <c r="A581" s="627" t="s">
        <v>1706</v>
      </c>
      <c r="B581" s="317" t="s">
        <v>51</v>
      </c>
      <c r="C581" s="320"/>
      <c r="D581" s="317"/>
      <c r="E581" s="317"/>
      <c r="F581" s="320"/>
      <c r="G581" s="320"/>
      <c r="H581" s="320"/>
      <c r="I581" s="320"/>
      <c r="J581" s="14">
        <f t="shared" ref="J581:AB581" si="359">J582+J591+J603+J614+J621+J639+J654+J660+J667+J674+J685+J698+J707+J716+J722+J729+J736+J745+J754+J765+J770+J786+J797+J806+J813+J819+J829+J843+J856+J862</f>
        <v>103445376.49457601</v>
      </c>
      <c r="K581" s="14">
        <f t="shared" si="359"/>
        <v>0</v>
      </c>
      <c r="L581" s="14">
        <f t="shared" si="359"/>
        <v>15552506</v>
      </c>
      <c r="M581" s="14">
        <f t="shared" si="359"/>
        <v>33472870.494576</v>
      </c>
      <c r="N581" s="14">
        <f t="shared" si="359"/>
        <v>7412828.762329001</v>
      </c>
      <c r="O581" s="14">
        <f t="shared" si="359"/>
        <v>0</v>
      </c>
      <c r="P581" s="14">
        <f t="shared" si="359"/>
        <v>3753247.9526379998</v>
      </c>
      <c r="Q581" s="14">
        <f t="shared" si="359"/>
        <v>3658480.8096910003</v>
      </c>
      <c r="R581" s="14">
        <f t="shared" si="359"/>
        <v>13593990.311770998</v>
      </c>
      <c r="S581" s="14">
        <f t="shared" si="359"/>
        <v>0</v>
      </c>
      <c r="T581" s="14">
        <f t="shared" si="359"/>
        <v>7207254.1219999995</v>
      </c>
      <c r="U581" s="14">
        <f t="shared" si="359"/>
        <v>6386736.1897710003</v>
      </c>
      <c r="V581" s="14">
        <f t="shared" si="359"/>
        <v>15902024.665000001</v>
      </c>
      <c r="W581" s="14">
        <f t="shared" si="359"/>
        <v>6758204.8949999996</v>
      </c>
      <c r="X581" s="14">
        <f t="shared" si="359"/>
        <v>871382.90300000005</v>
      </c>
      <c r="Y581" s="14">
        <f t="shared" si="359"/>
        <v>2029515.922</v>
      </c>
      <c r="Z581" s="14">
        <f t="shared" si="359"/>
        <v>3857306.0700000003</v>
      </c>
      <c r="AA581" s="14">
        <f t="shared" si="359"/>
        <v>0</v>
      </c>
      <c r="AB581" s="14">
        <f t="shared" si="359"/>
        <v>0</v>
      </c>
      <c r="AC581" s="380">
        <f t="shared" si="338"/>
        <v>0</v>
      </c>
    </row>
    <row r="582" spans="1:43" s="8" customFormat="1" ht="32.25" customHeight="1">
      <c r="A582" s="474">
        <v>1</v>
      </c>
      <c r="B582" s="317" t="s">
        <v>66</v>
      </c>
      <c r="C582" s="317" t="s">
        <v>66</v>
      </c>
      <c r="D582" s="317"/>
      <c r="E582" s="317"/>
      <c r="F582" s="37"/>
      <c r="G582" s="320"/>
      <c r="H582" s="320"/>
      <c r="I582" s="320"/>
      <c r="J582" s="14">
        <f>J583</f>
        <v>36970000</v>
      </c>
      <c r="K582" s="14">
        <f t="shared" ref="K582:AA582" si="360">K583</f>
        <v>0</v>
      </c>
      <c r="L582" s="14">
        <f t="shared" si="360"/>
        <v>5000000</v>
      </c>
      <c r="M582" s="14">
        <f t="shared" si="360"/>
        <v>10511000</v>
      </c>
      <c r="N582" s="14">
        <f t="shared" si="360"/>
        <v>562466.20407199999</v>
      </c>
      <c r="O582" s="14">
        <f t="shared" si="360"/>
        <v>0</v>
      </c>
      <c r="P582" s="14">
        <f t="shared" si="360"/>
        <v>390218.910638</v>
      </c>
      <c r="Q582" s="14">
        <f t="shared" si="360"/>
        <v>172247.29343399999</v>
      </c>
      <c r="R582" s="14">
        <f t="shared" si="360"/>
        <v>800416</v>
      </c>
      <c r="S582" s="14">
        <f t="shared" si="360"/>
        <v>0</v>
      </c>
      <c r="T582" s="14">
        <f t="shared" si="360"/>
        <v>500000</v>
      </c>
      <c r="U582" s="14">
        <f t="shared" si="360"/>
        <v>300416</v>
      </c>
      <c r="V582" s="14">
        <f t="shared" si="360"/>
        <v>6105206</v>
      </c>
      <c r="W582" s="14">
        <f t="shared" si="360"/>
        <v>1686867.15</v>
      </c>
      <c r="X582" s="14">
        <f t="shared" si="360"/>
        <v>266829</v>
      </c>
      <c r="Y582" s="14">
        <f t="shared" si="360"/>
        <v>576444</v>
      </c>
      <c r="Z582" s="14">
        <f t="shared" si="360"/>
        <v>843594.15</v>
      </c>
      <c r="AA582" s="14">
        <f t="shared" si="360"/>
        <v>0</v>
      </c>
      <c r="AB582" s="102"/>
      <c r="AC582" s="380">
        <f t="shared" si="338"/>
        <v>0</v>
      </c>
    </row>
    <row r="583" spans="1:43" s="10" customFormat="1" ht="27" customHeight="1">
      <c r="A583" s="393" t="s">
        <v>1305</v>
      </c>
      <c r="B583" s="394" t="s">
        <v>38</v>
      </c>
      <c r="C583" s="15" t="s">
        <v>66</v>
      </c>
      <c r="D583" s="394"/>
      <c r="E583" s="394"/>
      <c r="F583" s="421"/>
      <c r="G583" s="421"/>
      <c r="H583" s="421"/>
      <c r="I583" s="421"/>
      <c r="J583" s="453">
        <f>J585+J584+J590</f>
        <v>36970000</v>
      </c>
      <c r="K583" s="453">
        <f t="shared" ref="K583:AA583" si="361">K585+K584+K590</f>
        <v>0</v>
      </c>
      <c r="L583" s="453">
        <f t="shared" si="361"/>
        <v>5000000</v>
      </c>
      <c r="M583" s="453">
        <f t="shared" si="361"/>
        <v>10511000</v>
      </c>
      <c r="N583" s="453">
        <f t="shared" si="361"/>
        <v>562466.20407199999</v>
      </c>
      <c r="O583" s="453">
        <f t="shared" si="361"/>
        <v>0</v>
      </c>
      <c r="P583" s="453">
        <f t="shared" si="361"/>
        <v>390218.910638</v>
      </c>
      <c r="Q583" s="453">
        <f t="shared" si="361"/>
        <v>172247.29343399999</v>
      </c>
      <c r="R583" s="453">
        <f t="shared" si="361"/>
        <v>800416</v>
      </c>
      <c r="S583" s="453">
        <f t="shared" si="361"/>
        <v>0</v>
      </c>
      <c r="T583" s="453">
        <f t="shared" si="361"/>
        <v>500000</v>
      </c>
      <c r="U583" s="453">
        <f t="shared" si="361"/>
        <v>300416</v>
      </c>
      <c r="V583" s="453">
        <f t="shared" si="361"/>
        <v>6105206</v>
      </c>
      <c r="W583" s="453">
        <f t="shared" si="361"/>
        <v>1686867.15</v>
      </c>
      <c r="X583" s="453">
        <f t="shared" si="361"/>
        <v>266829</v>
      </c>
      <c r="Y583" s="453">
        <f t="shared" si="361"/>
        <v>576444</v>
      </c>
      <c r="Z583" s="453">
        <f t="shared" si="361"/>
        <v>843594.15</v>
      </c>
      <c r="AA583" s="453">
        <f t="shared" si="361"/>
        <v>0</v>
      </c>
      <c r="AB583" s="454">
        <f>AB585+AB584+AB590</f>
        <v>0</v>
      </c>
      <c r="AC583" s="380">
        <f t="shared" si="338"/>
        <v>0</v>
      </c>
    </row>
    <row r="584" spans="1:43" s="10" customFormat="1" ht="39.75" customHeight="1">
      <c r="A584" s="332" t="s">
        <v>39</v>
      </c>
      <c r="B584" s="326" t="s">
        <v>1254</v>
      </c>
      <c r="C584" s="15" t="s">
        <v>66</v>
      </c>
      <c r="D584" s="554"/>
      <c r="E584" s="332"/>
      <c r="F584" s="471"/>
      <c r="G584" s="471"/>
      <c r="H584" s="332"/>
      <c r="I584" s="471"/>
      <c r="J584" s="331"/>
      <c r="K584" s="331"/>
      <c r="L584" s="331"/>
      <c r="M584" s="331"/>
      <c r="N584" s="331"/>
      <c r="O584" s="331"/>
      <c r="P584" s="331"/>
      <c r="Q584" s="331"/>
      <c r="R584" s="331"/>
      <c r="S584" s="331"/>
      <c r="T584" s="331"/>
      <c r="U584" s="331"/>
      <c r="V584" s="331"/>
      <c r="W584" s="331"/>
      <c r="X584" s="331"/>
      <c r="Y584" s="331"/>
      <c r="Z584" s="331"/>
      <c r="AA584" s="331"/>
      <c r="AB584" s="332"/>
      <c r="AC584" s="380">
        <f t="shared" si="338"/>
        <v>0</v>
      </c>
    </row>
    <row r="585" spans="1:43" s="10" customFormat="1" ht="42.75" customHeight="1">
      <c r="A585" s="397" t="s">
        <v>467</v>
      </c>
      <c r="B585" s="477" t="s">
        <v>56</v>
      </c>
      <c r="C585" s="15" t="s">
        <v>66</v>
      </c>
      <c r="D585" s="477"/>
      <c r="E585" s="477"/>
      <c r="F585" s="614"/>
      <c r="G585" s="328"/>
      <c r="H585" s="328"/>
      <c r="I585" s="328"/>
      <c r="J585" s="436">
        <f>SUM(J586:J589)</f>
        <v>36970000</v>
      </c>
      <c r="K585" s="436">
        <f t="shared" ref="K585:AA585" si="362">SUM(K586:K589)</f>
        <v>0</v>
      </c>
      <c r="L585" s="436">
        <f t="shared" si="362"/>
        <v>5000000</v>
      </c>
      <c r="M585" s="436">
        <f t="shared" si="362"/>
        <v>10511000</v>
      </c>
      <c r="N585" s="436">
        <f t="shared" si="362"/>
        <v>562466.20407199999</v>
      </c>
      <c r="O585" s="436">
        <f t="shared" si="362"/>
        <v>0</v>
      </c>
      <c r="P585" s="436">
        <f t="shared" si="362"/>
        <v>390218.910638</v>
      </c>
      <c r="Q585" s="436">
        <f t="shared" si="362"/>
        <v>172247.29343399999</v>
      </c>
      <c r="R585" s="436">
        <f t="shared" si="362"/>
        <v>800416</v>
      </c>
      <c r="S585" s="436">
        <f t="shared" si="362"/>
        <v>0</v>
      </c>
      <c r="T585" s="436">
        <f t="shared" si="362"/>
        <v>500000</v>
      </c>
      <c r="U585" s="436">
        <f t="shared" si="362"/>
        <v>300416</v>
      </c>
      <c r="V585" s="436">
        <f t="shared" si="362"/>
        <v>6105206</v>
      </c>
      <c r="W585" s="436">
        <f>SUM(W586:W589)</f>
        <v>1686867.15</v>
      </c>
      <c r="X585" s="436">
        <f t="shared" si="362"/>
        <v>266829</v>
      </c>
      <c r="Y585" s="436">
        <f t="shared" si="362"/>
        <v>576444</v>
      </c>
      <c r="Z585" s="436">
        <f t="shared" si="362"/>
        <v>843594.15</v>
      </c>
      <c r="AA585" s="436">
        <f t="shared" si="362"/>
        <v>0</v>
      </c>
      <c r="AB585" s="437"/>
      <c r="AC585" s="380">
        <f t="shared" si="338"/>
        <v>0</v>
      </c>
    </row>
    <row r="586" spans="1:43" s="8" customFormat="1" ht="72" customHeight="1">
      <c r="A586" s="627" t="s">
        <v>144</v>
      </c>
      <c r="B586" s="106" t="s">
        <v>67</v>
      </c>
      <c r="C586" s="15" t="s">
        <v>66</v>
      </c>
      <c r="D586" s="106"/>
      <c r="E586" s="106"/>
      <c r="F586" s="37" t="s">
        <v>68</v>
      </c>
      <c r="G586" s="37" t="s">
        <v>69</v>
      </c>
      <c r="H586" s="13" t="s">
        <v>48</v>
      </c>
      <c r="I586" s="37" t="s">
        <v>70</v>
      </c>
      <c r="J586" s="12">
        <v>18002000</v>
      </c>
      <c r="K586" s="12"/>
      <c r="L586" s="12">
        <v>2000000</v>
      </c>
      <c r="M586" s="12">
        <v>4500000</v>
      </c>
      <c r="N586" s="12">
        <f>O586+P586+Q586</f>
        <v>0</v>
      </c>
      <c r="O586" s="12"/>
      <c r="P586" s="12"/>
      <c r="Q586" s="12"/>
      <c r="R586" s="12">
        <f>S586+T586+U586</f>
        <v>0</v>
      </c>
      <c r="S586" s="12"/>
      <c r="T586" s="12"/>
      <c r="U586" s="12"/>
      <c r="V586" s="616">
        <v>3216436</v>
      </c>
      <c r="W586" s="616">
        <f>SUM(X586:AA586)</f>
        <v>337283.15</v>
      </c>
      <c r="X586" s="616">
        <f>93105+3485+11500-20369-112+529+125395+772-7372+3463</f>
        <v>210396</v>
      </c>
      <c r="Y586" s="675">
        <v>95000</v>
      </c>
      <c r="Z586" s="616">
        <f>271369+24060-114754-10000+0.048+17442-125395+64165.102-95000</f>
        <v>31887.150000000009</v>
      </c>
      <c r="AA586" s="616"/>
      <c r="AB586" s="616" t="s">
        <v>1639</v>
      </c>
      <c r="AC586" s="380">
        <f t="shared" si="338"/>
        <v>0</v>
      </c>
      <c r="AD586" s="673">
        <f>+W586+W587</f>
        <v>1237283.1499999999</v>
      </c>
      <c r="AE586" s="8" t="s">
        <v>1860</v>
      </c>
      <c r="AF586" s="8">
        <f>900000+2155414</f>
        <v>3055414</v>
      </c>
      <c r="AJ586" s="8" t="s">
        <v>685</v>
      </c>
    </row>
    <row r="587" spans="1:43" s="338" customFormat="1" ht="85.5" customHeight="1">
      <c r="A587" s="627" t="s">
        <v>144</v>
      </c>
      <c r="B587" s="450" t="s">
        <v>1266</v>
      </c>
      <c r="C587" s="15" t="s">
        <v>66</v>
      </c>
      <c r="D587" s="37"/>
      <c r="E587" s="37"/>
      <c r="F587" s="37"/>
      <c r="G587" s="676" t="s">
        <v>1267</v>
      </c>
      <c r="H587" s="676" t="s">
        <v>48</v>
      </c>
      <c r="I587" s="676" t="s">
        <v>1268</v>
      </c>
      <c r="J587" s="12">
        <v>17718000</v>
      </c>
      <c r="K587" s="91"/>
      <c r="L587" s="12">
        <v>2500000</v>
      </c>
      <c r="M587" s="616">
        <v>5261000</v>
      </c>
      <c r="N587" s="91"/>
      <c r="O587" s="91"/>
      <c r="P587" s="91"/>
      <c r="Q587" s="91"/>
      <c r="R587" s="12">
        <f>+S587+T587+U587</f>
        <v>0</v>
      </c>
      <c r="S587" s="91"/>
      <c r="T587" s="12"/>
      <c r="U587" s="616"/>
      <c r="V587" s="616">
        <v>2405619</v>
      </c>
      <c r="W587" s="616">
        <f t="shared" ref="W587:W589" si="363">SUM(X587:AA587)</f>
        <v>900000</v>
      </c>
      <c r="X587" s="616"/>
      <c r="Y587" s="616">
        <f>900000-811707</f>
        <v>88293</v>
      </c>
      <c r="Z587" s="616">
        <f>811707</f>
        <v>811707</v>
      </c>
      <c r="AA587" s="616"/>
      <c r="AB587" s="616" t="s">
        <v>1639</v>
      </c>
      <c r="AC587" s="380">
        <f t="shared" si="338"/>
        <v>0</v>
      </c>
      <c r="AE587" s="338">
        <v>2</v>
      </c>
      <c r="AF587" s="338">
        <v>265000</v>
      </c>
      <c r="AJ587" s="8" t="s">
        <v>685</v>
      </c>
    </row>
    <row r="588" spans="1:43" s="8" customFormat="1" ht="66.75" customHeight="1">
      <c r="A588" s="627" t="s">
        <v>144</v>
      </c>
      <c r="B588" s="106" t="s">
        <v>743</v>
      </c>
      <c r="C588" s="15" t="s">
        <v>66</v>
      </c>
      <c r="D588" s="37">
        <v>7897138</v>
      </c>
      <c r="E588" s="37"/>
      <c r="F588" s="37" t="s">
        <v>744</v>
      </c>
      <c r="G588" s="37" t="s">
        <v>745</v>
      </c>
      <c r="H588" s="37" t="s">
        <v>73</v>
      </c>
      <c r="I588" s="316" t="s">
        <v>746</v>
      </c>
      <c r="J588" s="12">
        <v>600000</v>
      </c>
      <c r="K588" s="12">
        <v>0</v>
      </c>
      <c r="L588" s="12">
        <v>500000</v>
      </c>
      <c r="M588" s="12">
        <v>100000</v>
      </c>
      <c r="N588" s="12">
        <v>390218.910638</v>
      </c>
      <c r="O588" s="12">
        <v>0</v>
      </c>
      <c r="P588" s="12">
        <v>390218.910638</v>
      </c>
      <c r="Q588" s="12">
        <v>0</v>
      </c>
      <c r="R588" s="12">
        <v>543567</v>
      </c>
      <c r="S588" s="12">
        <v>0</v>
      </c>
      <c r="T588" s="12">
        <v>500000</v>
      </c>
      <c r="U588" s="12">
        <v>43567</v>
      </c>
      <c r="V588" s="677">
        <v>90000</v>
      </c>
      <c r="W588" s="616">
        <f t="shared" si="363"/>
        <v>56433</v>
      </c>
      <c r="X588" s="12">
        <v>56433</v>
      </c>
      <c r="Y588" s="12"/>
      <c r="Z588" s="12"/>
      <c r="AA588" s="12"/>
      <c r="AB588" s="91" t="s">
        <v>1622</v>
      </c>
      <c r="AC588" s="380">
        <f t="shared" si="338"/>
        <v>0</v>
      </c>
      <c r="AE588" s="8">
        <v>4</v>
      </c>
      <c r="AF588" s="8">
        <v>445000</v>
      </c>
      <c r="AJ588" s="8" t="s">
        <v>685</v>
      </c>
    </row>
    <row r="589" spans="1:43" s="8" customFormat="1" ht="66.75" customHeight="1">
      <c r="A589" s="627" t="s">
        <v>144</v>
      </c>
      <c r="B589" s="106" t="s">
        <v>747</v>
      </c>
      <c r="C589" s="15" t="s">
        <v>66</v>
      </c>
      <c r="D589" s="37">
        <v>8040315</v>
      </c>
      <c r="E589" s="37"/>
      <c r="F589" s="37" t="s">
        <v>748</v>
      </c>
      <c r="G589" s="37" t="s">
        <v>749</v>
      </c>
      <c r="H589" s="37" t="s">
        <v>41</v>
      </c>
      <c r="I589" s="316" t="s">
        <v>750</v>
      </c>
      <c r="J589" s="12">
        <v>650000</v>
      </c>
      <c r="K589" s="12">
        <v>0</v>
      </c>
      <c r="L589" s="12">
        <v>0</v>
      </c>
      <c r="M589" s="12">
        <v>650000</v>
      </c>
      <c r="N589" s="12">
        <v>172247.29343399999</v>
      </c>
      <c r="O589" s="12">
        <v>0</v>
      </c>
      <c r="P589" s="12">
        <v>0</v>
      </c>
      <c r="Q589" s="12">
        <v>172247.29343399999</v>
      </c>
      <c r="R589" s="12">
        <v>256849</v>
      </c>
      <c r="S589" s="12">
        <v>0</v>
      </c>
      <c r="T589" s="12">
        <v>0</v>
      </c>
      <c r="U589" s="12">
        <v>256849</v>
      </c>
      <c r="V589" s="677">
        <f>300000+93151</f>
        <v>393151</v>
      </c>
      <c r="W589" s="616">
        <f t="shared" si="363"/>
        <v>393151</v>
      </c>
      <c r="X589" s="12"/>
      <c r="Y589" s="12">
        <v>393151</v>
      </c>
      <c r="Z589" s="12"/>
      <c r="AA589" s="12"/>
      <c r="AB589" s="91" t="s">
        <v>1622</v>
      </c>
      <c r="AC589" s="380">
        <f t="shared" si="338"/>
        <v>0</v>
      </c>
      <c r="AJ589" s="8" t="s">
        <v>685</v>
      </c>
    </row>
    <row r="590" spans="1:43" s="10" customFormat="1" ht="40.5" customHeight="1">
      <c r="A590" s="398" t="s">
        <v>1306</v>
      </c>
      <c r="B590" s="413" t="s">
        <v>1307</v>
      </c>
      <c r="C590" s="15"/>
      <c r="D590" s="328"/>
      <c r="E590" s="328"/>
      <c r="F590" s="614"/>
      <c r="G590" s="448"/>
      <c r="H590" s="328"/>
      <c r="I590" s="328"/>
      <c r="J590" s="637"/>
      <c r="K590" s="637"/>
      <c r="L590" s="637"/>
      <c r="M590" s="637"/>
      <c r="N590" s="637"/>
      <c r="O590" s="637"/>
      <c r="P590" s="637"/>
      <c r="Q590" s="637"/>
      <c r="R590" s="637"/>
      <c r="S590" s="637"/>
      <c r="T590" s="637"/>
      <c r="U590" s="637"/>
      <c r="V590" s="637"/>
      <c r="W590" s="637"/>
      <c r="X590" s="637"/>
      <c r="Y590" s="637"/>
      <c r="Z590" s="637"/>
      <c r="AA590" s="637"/>
      <c r="AB590" s="638"/>
      <c r="AC590" s="380">
        <f t="shared" si="338"/>
        <v>0</v>
      </c>
    </row>
    <row r="591" spans="1:43" s="8" customFormat="1" ht="30" customHeight="1">
      <c r="A591" s="474">
        <v>2</v>
      </c>
      <c r="B591" s="317" t="s">
        <v>55</v>
      </c>
      <c r="C591" s="317" t="s">
        <v>55</v>
      </c>
      <c r="D591" s="317"/>
      <c r="E591" s="317"/>
      <c r="F591" s="37"/>
      <c r="G591" s="320"/>
      <c r="H591" s="320"/>
      <c r="I591" s="320"/>
      <c r="J591" s="14">
        <f t="shared" ref="J591:AA591" si="364">+J592</f>
        <v>2390190</v>
      </c>
      <c r="K591" s="14">
        <f t="shared" si="364"/>
        <v>0</v>
      </c>
      <c r="L591" s="14">
        <f t="shared" si="364"/>
        <v>1154190</v>
      </c>
      <c r="M591" s="14">
        <f t="shared" si="364"/>
        <v>1236000</v>
      </c>
      <c r="N591" s="14">
        <f t="shared" si="364"/>
        <v>1559647.92</v>
      </c>
      <c r="O591" s="14">
        <f t="shared" si="364"/>
        <v>0</v>
      </c>
      <c r="P591" s="14">
        <f t="shared" si="364"/>
        <v>1118789.92</v>
      </c>
      <c r="Q591" s="14">
        <f t="shared" si="364"/>
        <v>440858</v>
      </c>
      <c r="R591" s="14">
        <f t="shared" si="364"/>
        <v>1530656</v>
      </c>
      <c r="S591" s="14">
        <f t="shared" si="364"/>
        <v>0</v>
      </c>
      <c r="T591" s="14">
        <f t="shared" si="364"/>
        <v>1090298</v>
      </c>
      <c r="U591" s="14">
        <f t="shared" si="364"/>
        <v>440358</v>
      </c>
      <c r="V591" s="14">
        <f t="shared" si="364"/>
        <v>891245.56300000008</v>
      </c>
      <c r="W591" s="14">
        <f t="shared" si="364"/>
        <v>798167.92</v>
      </c>
      <c r="X591" s="14">
        <f t="shared" si="364"/>
        <v>28367</v>
      </c>
      <c r="Y591" s="14">
        <f t="shared" si="364"/>
        <v>167614</v>
      </c>
      <c r="Z591" s="14">
        <f t="shared" si="364"/>
        <v>602186.92000000004</v>
      </c>
      <c r="AA591" s="14">
        <f t="shared" si="364"/>
        <v>0</v>
      </c>
      <c r="AB591" s="102"/>
      <c r="AC591" s="380">
        <f t="shared" si="338"/>
        <v>0</v>
      </c>
    </row>
    <row r="592" spans="1:43" s="422" customFormat="1" ht="31.5" customHeight="1">
      <c r="A592" s="678" t="s">
        <v>1287</v>
      </c>
      <c r="B592" s="394" t="s">
        <v>38</v>
      </c>
      <c r="C592" s="15" t="s">
        <v>55</v>
      </c>
      <c r="D592" s="394"/>
      <c r="E592" s="394"/>
      <c r="F592" s="632"/>
      <c r="G592" s="421"/>
      <c r="H592" s="421"/>
      <c r="I592" s="421"/>
      <c r="J592" s="453">
        <f>+J593+J596+J602</f>
        <v>2390190</v>
      </c>
      <c r="K592" s="453">
        <f t="shared" ref="K592:AA592" si="365">+K593+K596+K602</f>
        <v>0</v>
      </c>
      <c r="L592" s="453">
        <f t="shared" si="365"/>
        <v>1154190</v>
      </c>
      <c r="M592" s="453">
        <f t="shared" si="365"/>
        <v>1236000</v>
      </c>
      <c r="N592" s="453">
        <f t="shared" si="365"/>
        <v>1559647.92</v>
      </c>
      <c r="O592" s="453">
        <f t="shared" si="365"/>
        <v>0</v>
      </c>
      <c r="P592" s="453">
        <f t="shared" si="365"/>
        <v>1118789.92</v>
      </c>
      <c r="Q592" s="453">
        <f t="shared" si="365"/>
        <v>440858</v>
      </c>
      <c r="R592" s="453">
        <f t="shared" si="365"/>
        <v>1530656</v>
      </c>
      <c r="S592" s="453">
        <f t="shared" si="365"/>
        <v>0</v>
      </c>
      <c r="T592" s="453">
        <f t="shared" si="365"/>
        <v>1090298</v>
      </c>
      <c r="U592" s="453">
        <f t="shared" si="365"/>
        <v>440358</v>
      </c>
      <c r="V592" s="453">
        <f t="shared" si="365"/>
        <v>891245.56300000008</v>
      </c>
      <c r="W592" s="453">
        <f t="shared" si="365"/>
        <v>798167.92</v>
      </c>
      <c r="X592" s="453">
        <f t="shared" si="365"/>
        <v>28367</v>
      </c>
      <c r="Y592" s="453">
        <f t="shared" si="365"/>
        <v>167614</v>
      </c>
      <c r="Z592" s="453">
        <f t="shared" si="365"/>
        <v>602186.92000000004</v>
      </c>
      <c r="AA592" s="453">
        <f t="shared" si="365"/>
        <v>0</v>
      </c>
      <c r="AB592" s="454"/>
      <c r="AC592" s="380">
        <f t="shared" si="338"/>
        <v>0</v>
      </c>
    </row>
    <row r="593" spans="1:62" s="10" customFormat="1" ht="39.75" customHeight="1">
      <c r="A593" s="332" t="s">
        <v>39</v>
      </c>
      <c r="B593" s="326" t="s">
        <v>1254</v>
      </c>
      <c r="C593" s="15" t="s">
        <v>55</v>
      </c>
      <c r="D593" s="554"/>
      <c r="E593" s="332"/>
      <c r="F593" s="471"/>
      <c r="G593" s="471"/>
      <c r="H593" s="332"/>
      <c r="I593" s="471"/>
      <c r="J593" s="331">
        <f t="shared" ref="J593:AA593" si="366">SUM(J594:J595)</f>
        <v>404190</v>
      </c>
      <c r="K593" s="331">
        <f t="shared" si="366"/>
        <v>0</v>
      </c>
      <c r="L593" s="331">
        <f t="shared" si="366"/>
        <v>404190</v>
      </c>
      <c r="M593" s="331">
        <f t="shared" si="366"/>
        <v>0</v>
      </c>
      <c r="N593" s="331">
        <f t="shared" si="366"/>
        <v>378788.92000000004</v>
      </c>
      <c r="O593" s="331">
        <f t="shared" si="366"/>
        <v>0</v>
      </c>
      <c r="P593" s="331">
        <f t="shared" si="366"/>
        <v>378788.92000000004</v>
      </c>
      <c r="Q593" s="331">
        <f t="shared" si="366"/>
        <v>0</v>
      </c>
      <c r="R593" s="331">
        <f t="shared" si="366"/>
        <v>378763</v>
      </c>
      <c r="S593" s="331">
        <f t="shared" si="366"/>
        <v>0</v>
      </c>
      <c r="T593" s="331">
        <f t="shared" si="366"/>
        <v>378763</v>
      </c>
      <c r="U593" s="331">
        <f t="shared" si="366"/>
        <v>0</v>
      </c>
      <c r="V593" s="331">
        <f t="shared" si="366"/>
        <v>3025.92</v>
      </c>
      <c r="W593" s="331">
        <f>SUM(W594:W595)</f>
        <v>3025.92</v>
      </c>
      <c r="X593" s="331">
        <f t="shared" si="366"/>
        <v>0</v>
      </c>
      <c r="Y593" s="331">
        <f t="shared" si="366"/>
        <v>3000</v>
      </c>
      <c r="Z593" s="331">
        <f t="shared" si="366"/>
        <v>25.92</v>
      </c>
      <c r="AA593" s="331">
        <f t="shared" si="366"/>
        <v>0</v>
      </c>
      <c r="AB593" s="332"/>
      <c r="AC593" s="380">
        <f t="shared" si="338"/>
        <v>7.1054273576010019E-14</v>
      </c>
    </row>
    <row r="594" spans="1:62" s="8" customFormat="1" ht="41.25" customHeight="1">
      <c r="A594" s="430" t="s">
        <v>144</v>
      </c>
      <c r="B594" s="42" t="s">
        <v>753</v>
      </c>
      <c r="C594" s="15" t="s">
        <v>55</v>
      </c>
      <c r="D594" s="20">
        <v>7177456</v>
      </c>
      <c r="E594" s="20"/>
      <c r="F594" s="20" t="s">
        <v>754</v>
      </c>
      <c r="G594" s="13"/>
      <c r="H594" s="20" t="s">
        <v>755</v>
      </c>
      <c r="I594" s="20" t="s">
        <v>756</v>
      </c>
      <c r="J594" s="12">
        <v>162044</v>
      </c>
      <c r="K594" s="12"/>
      <c r="L594" s="12">
        <v>162044</v>
      </c>
      <c r="M594" s="12"/>
      <c r="N594" s="12">
        <v>146617.92000000001</v>
      </c>
      <c r="O594" s="12"/>
      <c r="P594" s="12">
        <v>146617.92000000001</v>
      </c>
      <c r="Q594" s="12"/>
      <c r="R594" s="12">
        <f>S594+T594+U594</f>
        <v>146592</v>
      </c>
      <c r="S594" s="12"/>
      <c r="T594" s="12">
        <v>146592</v>
      </c>
      <c r="U594" s="12"/>
      <c r="V594" s="12">
        <v>25.92</v>
      </c>
      <c r="W594" s="12">
        <f>SUM(X594:AA594)</f>
        <v>25.92</v>
      </c>
      <c r="X594" s="12"/>
      <c r="Y594" s="12"/>
      <c r="Z594" s="12">
        <v>25.92</v>
      </c>
      <c r="AA594" s="12"/>
      <c r="AB594" s="91" t="s">
        <v>1308</v>
      </c>
      <c r="AC594" s="380">
        <f t="shared" si="338"/>
        <v>0</v>
      </c>
      <c r="AJ594" s="555" t="s">
        <v>1308</v>
      </c>
    </row>
    <row r="595" spans="1:62" s="8" customFormat="1" ht="71.25" customHeight="1">
      <c r="A595" s="430" t="s">
        <v>144</v>
      </c>
      <c r="B595" s="42" t="s">
        <v>1669</v>
      </c>
      <c r="C595" s="15" t="s">
        <v>55</v>
      </c>
      <c r="D595" s="20">
        <v>7654939</v>
      </c>
      <c r="E595" s="20"/>
      <c r="F595" s="20" t="s">
        <v>754</v>
      </c>
      <c r="G595" s="13"/>
      <c r="H595" s="20" t="s">
        <v>1670</v>
      </c>
      <c r="I595" s="20" t="s">
        <v>1671</v>
      </c>
      <c r="J595" s="12">
        <v>242146</v>
      </c>
      <c r="K595" s="12"/>
      <c r="L595" s="12">
        <v>242146</v>
      </c>
      <c r="M595" s="12"/>
      <c r="N595" s="12">
        <v>232171</v>
      </c>
      <c r="O595" s="12"/>
      <c r="P595" s="12">
        <v>232171</v>
      </c>
      <c r="Q595" s="12"/>
      <c r="R595" s="12">
        <v>232171</v>
      </c>
      <c r="S595" s="12"/>
      <c r="T595" s="12">
        <v>232171</v>
      </c>
      <c r="U595" s="12"/>
      <c r="V595" s="12">
        <v>3000</v>
      </c>
      <c r="W595" s="12">
        <f>SUM(X595:AA595)</f>
        <v>3000</v>
      </c>
      <c r="X595" s="12"/>
      <c r="Y595" s="12">
        <v>3000</v>
      </c>
      <c r="Z595" s="12"/>
      <c r="AA595" s="12"/>
      <c r="AB595" s="91" t="s">
        <v>1308</v>
      </c>
      <c r="AC595" s="380">
        <f t="shared" si="338"/>
        <v>0</v>
      </c>
      <c r="AJ595" s="555" t="s">
        <v>1308</v>
      </c>
    </row>
    <row r="596" spans="1:62" s="10" customFormat="1" ht="42.75" customHeight="1">
      <c r="A596" s="397" t="s">
        <v>467</v>
      </c>
      <c r="B596" s="477" t="s">
        <v>56</v>
      </c>
      <c r="C596" s="15" t="s">
        <v>55</v>
      </c>
      <c r="D596" s="477"/>
      <c r="E596" s="477"/>
      <c r="F596" s="614"/>
      <c r="G596" s="328"/>
      <c r="H596" s="328"/>
      <c r="I596" s="328"/>
      <c r="J596" s="436">
        <f>+SUM(J597:J601)</f>
        <v>1986000</v>
      </c>
      <c r="K596" s="436">
        <f t="shared" ref="K596:AA596" si="367">+SUM(K597:K601)</f>
        <v>0</v>
      </c>
      <c r="L596" s="436">
        <f t="shared" si="367"/>
        <v>750000</v>
      </c>
      <c r="M596" s="436">
        <f t="shared" si="367"/>
        <v>1236000</v>
      </c>
      <c r="N596" s="436">
        <f t="shared" si="367"/>
        <v>1180859</v>
      </c>
      <c r="O596" s="436">
        <f t="shared" si="367"/>
        <v>0</v>
      </c>
      <c r="P596" s="436">
        <f t="shared" si="367"/>
        <v>740001</v>
      </c>
      <c r="Q596" s="436">
        <f t="shared" si="367"/>
        <v>440858</v>
      </c>
      <c r="R596" s="436">
        <f t="shared" si="367"/>
        <v>1151893</v>
      </c>
      <c r="S596" s="436">
        <f t="shared" si="367"/>
        <v>0</v>
      </c>
      <c r="T596" s="436">
        <f t="shared" si="367"/>
        <v>711535</v>
      </c>
      <c r="U596" s="436">
        <f t="shared" si="367"/>
        <v>440358</v>
      </c>
      <c r="V596" s="436">
        <f t="shared" si="367"/>
        <v>888219.64300000004</v>
      </c>
      <c r="W596" s="436">
        <f>+SUM(W597:W601)</f>
        <v>795142</v>
      </c>
      <c r="X596" s="436">
        <f t="shared" si="367"/>
        <v>28367</v>
      </c>
      <c r="Y596" s="436">
        <f t="shared" si="367"/>
        <v>164614</v>
      </c>
      <c r="Z596" s="436">
        <f t="shared" si="367"/>
        <v>602161</v>
      </c>
      <c r="AA596" s="436">
        <f t="shared" si="367"/>
        <v>0</v>
      </c>
      <c r="AB596" s="437"/>
      <c r="AC596" s="380">
        <f t="shared" si="338"/>
        <v>0</v>
      </c>
    </row>
    <row r="597" spans="1:62" s="8" customFormat="1" ht="150">
      <c r="A597" s="430" t="s">
        <v>144</v>
      </c>
      <c r="B597" s="42" t="s">
        <v>57</v>
      </c>
      <c r="C597" s="15" t="s">
        <v>55</v>
      </c>
      <c r="D597" s="313">
        <v>7281576</v>
      </c>
      <c r="E597" s="42"/>
      <c r="F597" s="37" t="s">
        <v>179</v>
      </c>
      <c r="G597" s="13" t="s">
        <v>178</v>
      </c>
      <c r="H597" s="309" t="s">
        <v>44</v>
      </c>
      <c r="I597" s="433" t="s">
        <v>58</v>
      </c>
      <c r="J597" s="457">
        <v>830000</v>
      </c>
      <c r="K597" s="12"/>
      <c r="L597" s="12">
        <v>750000</v>
      </c>
      <c r="M597" s="12">
        <v>80000</v>
      </c>
      <c r="N597" s="12">
        <f>O597+P597+Q597</f>
        <v>765387</v>
      </c>
      <c r="O597" s="12"/>
      <c r="P597" s="12">
        <v>740001</v>
      </c>
      <c r="Q597" s="12">
        <f>765387-740001</f>
        <v>25386</v>
      </c>
      <c r="R597" s="12">
        <f t="shared" ref="R597:R601" si="368">S597+T597+U597</f>
        <v>736921</v>
      </c>
      <c r="S597" s="12"/>
      <c r="T597" s="12">
        <f>740001-28466</f>
        <v>711535</v>
      </c>
      <c r="U597" s="12">
        <f>765387-740001</f>
        <v>25386</v>
      </c>
      <c r="V597" s="12">
        <v>147692</v>
      </c>
      <c r="W597" s="12">
        <f>SUM(X597:AA597)</f>
        <v>54614</v>
      </c>
      <c r="X597" s="12"/>
      <c r="Y597" s="12">
        <v>54614</v>
      </c>
      <c r="Z597" s="12"/>
      <c r="AA597" s="12"/>
      <c r="AB597" s="91" t="s">
        <v>1622</v>
      </c>
      <c r="AC597" s="380">
        <f t="shared" si="338"/>
        <v>0</v>
      </c>
      <c r="AJ597" s="8" t="s">
        <v>685</v>
      </c>
    </row>
    <row r="598" spans="1:62" s="8" customFormat="1" ht="78" customHeight="1">
      <c r="A598" s="426" t="s">
        <v>144</v>
      </c>
      <c r="B598" s="27" t="s">
        <v>757</v>
      </c>
      <c r="C598" s="15" t="s">
        <v>55</v>
      </c>
      <c r="D598" s="13">
        <v>7871028</v>
      </c>
      <c r="E598" s="13"/>
      <c r="F598" s="37" t="s">
        <v>758</v>
      </c>
      <c r="G598" s="37"/>
      <c r="H598" s="13" t="s">
        <v>437</v>
      </c>
      <c r="I598" s="13" t="s">
        <v>759</v>
      </c>
      <c r="J598" s="12">
        <v>79000</v>
      </c>
      <c r="K598" s="407"/>
      <c r="L598" s="407"/>
      <c r="M598" s="407">
        <v>79000</v>
      </c>
      <c r="N598" s="12">
        <v>71100</v>
      </c>
      <c r="O598" s="407"/>
      <c r="P598" s="407"/>
      <c r="Q598" s="12">
        <v>71100</v>
      </c>
      <c r="R598" s="12">
        <f t="shared" si="368"/>
        <v>71100</v>
      </c>
      <c r="S598" s="407"/>
      <c r="T598" s="407"/>
      <c r="U598" s="12">
        <v>71100</v>
      </c>
      <c r="V598" s="407">
        <v>7900</v>
      </c>
      <c r="W598" s="12">
        <f t="shared" ref="W598:W601" si="369">SUM(X598:AA598)</f>
        <v>7900</v>
      </c>
      <c r="X598" s="12">
        <v>7900</v>
      </c>
      <c r="Y598" s="12"/>
      <c r="Z598" s="12"/>
      <c r="AA598" s="12"/>
      <c r="AB598" s="91" t="s">
        <v>1622</v>
      </c>
      <c r="AC598" s="380">
        <f t="shared" si="338"/>
        <v>0</v>
      </c>
      <c r="AJ598" s="8" t="s">
        <v>685</v>
      </c>
    </row>
    <row r="599" spans="1:62" s="8" customFormat="1" ht="93" customHeight="1">
      <c r="A599" s="430" t="s">
        <v>144</v>
      </c>
      <c r="B599" s="27" t="s">
        <v>760</v>
      </c>
      <c r="C599" s="15" t="s">
        <v>55</v>
      </c>
      <c r="D599" s="13">
        <v>8120278</v>
      </c>
      <c r="E599" s="13"/>
      <c r="F599" s="679" t="s">
        <v>761</v>
      </c>
      <c r="G599" s="679" t="s">
        <v>762</v>
      </c>
      <c r="H599" s="679" t="s">
        <v>240</v>
      </c>
      <c r="I599" s="680" t="s">
        <v>763</v>
      </c>
      <c r="J599" s="681">
        <f>SUM(K599:M599)</f>
        <v>338000</v>
      </c>
      <c r="K599" s="681"/>
      <c r="L599" s="681"/>
      <c r="M599" s="681">
        <v>338000</v>
      </c>
      <c r="N599" s="681">
        <v>72500</v>
      </c>
      <c r="O599" s="681"/>
      <c r="P599" s="681"/>
      <c r="Q599" s="681">
        <v>72500</v>
      </c>
      <c r="R599" s="12">
        <f t="shared" si="368"/>
        <v>72500</v>
      </c>
      <c r="S599" s="681"/>
      <c r="T599" s="681"/>
      <c r="U599" s="681">
        <v>72500</v>
      </c>
      <c r="V599" s="682">
        <v>265000</v>
      </c>
      <c r="W599" s="12">
        <f t="shared" si="369"/>
        <v>265000</v>
      </c>
      <c r="X599" s="682"/>
      <c r="Y599" s="682"/>
      <c r="Z599" s="682">
        <v>265000</v>
      </c>
      <c r="AA599" s="682"/>
      <c r="AB599" s="91" t="s">
        <v>1622</v>
      </c>
      <c r="AC599" s="380">
        <f t="shared" si="338"/>
        <v>0</v>
      </c>
      <c r="AJ599" s="8" t="s">
        <v>685</v>
      </c>
      <c r="BJ599" s="338" t="s">
        <v>1869</v>
      </c>
    </row>
    <row r="600" spans="1:62" s="8" customFormat="1" ht="62.25" customHeight="1">
      <c r="A600" s="426" t="s">
        <v>144</v>
      </c>
      <c r="B600" s="683" t="s">
        <v>764</v>
      </c>
      <c r="C600" s="15" t="s">
        <v>55</v>
      </c>
      <c r="D600" s="13">
        <v>8124872</v>
      </c>
      <c r="E600" s="13"/>
      <c r="F600" s="679" t="s">
        <v>765</v>
      </c>
      <c r="G600" s="679" t="s">
        <v>766</v>
      </c>
      <c r="H600" s="433" t="s">
        <v>240</v>
      </c>
      <c r="I600" s="684" t="s">
        <v>767</v>
      </c>
      <c r="J600" s="681">
        <f>SUM(K600:M600)</f>
        <v>662000</v>
      </c>
      <c r="K600" s="681"/>
      <c r="L600" s="681"/>
      <c r="M600" s="681">
        <v>662000</v>
      </c>
      <c r="N600" s="681">
        <v>217500</v>
      </c>
      <c r="O600" s="681"/>
      <c r="P600" s="681"/>
      <c r="Q600" s="681">
        <v>217500</v>
      </c>
      <c r="R600" s="12">
        <f t="shared" si="368"/>
        <v>217000</v>
      </c>
      <c r="S600" s="681"/>
      <c r="T600" s="681"/>
      <c r="U600" s="681">
        <f>217500-500</f>
        <v>217000</v>
      </c>
      <c r="V600" s="682">
        <v>445000</v>
      </c>
      <c r="W600" s="12">
        <f t="shared" si="369"/>
        <v>445000</v>
      </c>
      <c r="X600" s="682"/>
      <c r="Y600" s="682">
        <f>445000-335000</f>
        <v>110000</v>
      </c>
      <c r="Z600" s="682">
        <v>335000</v>
      </c>
      <c r="AA600" s="682"/>
      <c r="AB600" s="91" t="s">
        <v>1622</v>
      </c>
      <c r="AC600" s="380">
        <f t="shared" si="338"/>
        <v>0</v>
      </c>
      <c r="AJ600" s="8" t="s">
        <v>685</v>
      </c>
      <c r="BJ600" s="338" t="s">
        <v>1869</v>
      </c>
    </row>
    <row r="601" spans="1:62" s="8" customFormat="1" ht="50.25" customHeight="1">
      <c r="A601" s="426" t="s">
        <v>144</v>
      </c>
      <c r="B601" s="27" t="s">
        <v>768</v>
      </c>
      <c r="C601" s="15" t="s">
        <v>55</v>
      </c>
      <c r="D601" s="13">
        <v>7872545</v>
      </c>
      <c r="E601" s="13"/>
      <c r="F601" s="37" t="s">
        <v>754</v>
      </c>
      <c r="G601" s="37"/>
      <c r="H601" s="13" t="s">
        <v>437</v>
      </c>
      <c r="I601" s="13" t="s">
        <v>769</v>
      </c>
      <c r="J601" s="12">
        <v>77000</v>
      </c>
      <c r="K601" s="407"/>
      <c r="L601" s="407"/>
      <c r="M601" s="407">
        <v>77000</v>
      </c>
      <c r="N601" s="12">
        <v>54372</v>
      </c>
      <c r="O601" s="407">
        <v>0</v>
      </c>
      <c r="P601" s="407"/>
      <c r="Q601" s="12">
        <v>54372</v>
      </c>
      <c r="R601" s="12">
        <f t="shared" si="368"/>
        <v>54372</v>
      </c>
      <c r="S601" s="407">
        <v>0</v>
      </c>
      <c r="T601" s="407"/>
      <c r="U601" s="12">
        <v>54372</v>
      </c>
      <c r="V601" s="407">
        <v>22627.642999999996</v>
      </c>
      <c r="W601" s="12">
        <f t="shared" si="369"/>
        <v>22628</v>
      </c>
      <c r="X601" s="12">
        <v>20467</v>
      </c>
      <c r="Y601" s="12"/>
      <c r="Z601" s="12">
        <v>2161</v>
      </c>
      <c r="AA601" s="12"/>
      <c r="AB601" s="91" t="s">
        <v>1622</v>
      </c>
      <c r="AC601" s="380">
        <f t="shared" si="338"/>
        <v>0</v>
      </c>
      <c r="AJ601" s="8" t="s">
        <v>685</v>
      </c>
    </row>
    <row r="602" spans="1:62" s="10" customFormat="1" ht="40.5" customHeight="1">
      <c r="A602" s="398" t="s">
        <v>1306</v>
      </c>
      <c r="B602" s="413" t="s">
        <v>1307</v>
      </c>
      <c r="C602" s="15" t="s">
        <v>55</v>
      </c>
      <c r="D602" s="328"/>
      <c r="E602" s="328"/>
      <c r="F602" s="614"/>
      <c r="G602" s="448"/>
      <c r="H602" s="328"/>
      <c r="I602" s="328"/>
      <c r="J602" s="637"/>
      <c r="K602" s="637"/>
      <c r="L602" s="637"/>
      <c r="M602" s="637"/>
      <c r="N602" s="637"/>
      <c r="O602" s="637"/>
      <c r="P602" s="637"/>
      <c r="Q602" s="637"/>
      <c r="R602" s="637"/>
      <c r="S602" s="637"/>
      <c r="T602" s="637"/>
      <c r="U602" s="637"/>
      <c r="V602" s="637"/>
      <c r="W602" s="637"/>
      <c r="X602" s="637"/>
      <c r="Y602" s="637"/>
      <c r="Z602" s="637"/>
      <c r="AA602" s="637"/>
      <c r="AB602" s="638"/>
      <c r="AC602" s="380">
        <f t="shared" si="338"/>
        <v>0</v>
      </c>
    </row>
    <row r="603" spans="1:62" s="8" customFormat="1" ht="32.25" customHeight="1">
      <c r="A603" s="474">
        <v>3</v>
      </c>
      <c r="B603" s="317" t="s">
        <v>62</v>
      </c>
      <c r="C603" s="317" t="s">
        <v>62</v>
      </c>
      <c r="D603" s="317"/>
      <c r="E603" s="317"/>
      <c r="F603" s="37"/>
      <c r="G603" s="320"/>
      <c r="H603" s="320"/>
      <c r="I603" s="320"/>
      <c r="J603" s="14">
        <f>+J604</f>
        <v>3498215</v>
      </c>
      <c r="K603" s="14">
        <f t="shared" ref="K603:AA603" si="370">+K604</f>
        <v>0</v>
      </c>
      <c r="L603" s="14">
        <f t="shared" si="370"/>
        <v>1995776</v>
      </c>
      <c r="M603" s="14">
        <f t="shared" si="370"/>
        <v>1502439</v>
      </c>
      <c r="N603" s="14">
        <f t="shared" si="370"/>
        <v>2091641</v>
      </c>
      <c r="O603" s="14">
        <f t="shared" si="370"/>
        <v>0</v>
      </c>
      <c r="P603" s="14">
        <f t="shared" si="370"/>
        <v>1547006</v>
      </c>
      <c r="Q603" s="14">
        <f t="shared" si="370"/>
        <v>544635</v>
      </c>
      <c r="R603" s="14">
        <f t="shared" si="370"/>
        <v>2118754</v>
      </c>
      <c r="S603" s="14">
        <f t="shared" si="370"/>
        <v>0</v>
      </c>
      <c r="T603" s="14">
        <f t="shared" si="370"/>
        <v>1542525</v>
      </c>
      <c r="U603" s="14">
        <f t="shared" si="370"/>
        <v>576229</v>
      </c>
      <c r="V603" s="14">
        <f t="shared" si="370"/>
        <v>759201</v>
      </c>
      <c r="W603" s="14">
        <f t="shared" si="370"/>
        <v>216493</v>
      </c>
      <c r="X603" s="14">
        <f t="shared" si="370"/>
        <v>93347</v>
      </c>
      <c r="Y603" s="14">
        <f t="shared" si="370"/>
        <v>113146</v>
      </c>
      <c r="Z603" s="14">
        <f t="shared" si="370"/>
        <v>10000</v>
      </c>
      <c r="AA603" s="14">
        <f t="shared" si="370"/>
        <v>0</v>
      </c>
      <c r="AB603" s="102"/>
      <c r="AC603" s="380">
        <f t="shared" si="338"/>
        <v>0</v>
      </c>
    </row>
    <row r="604" spans="1:62" s="10" customFormat="1" ht="26.25" customHeight="1">
      <c r="A604" s="393" t="s">
        <v>1288</v>
      </c>
      <c r="B604" s="394" t="s">
        <v>38</v>
      </c>
      <c r="C604" s="15" t="s">
        <v>62</v>
      </c>
      <c r="D604" s="394"/>
      <c r="E604" s="394"/>
      <c r="F604" s="421"/>
      <c r="G604" s="421"/>
      <c r="H604" s="421"/>
      <c r="I604" s="421"/>
      <c r="J604" s="453">
        <f t="shared" ref="J604:AA604" si="371">J606+J613+J605</f>
        <v>3498215</v>
      </c>
      <c r="K604" s="453">
        <f t="shared" si="371"/>
        <v>0</v>
      </c>
      <c r="L604" s="453">
        <f t="shared" si="371"/>
        <v>1995776</v>
      </c>
      <c r="M604" s="453">
        <f t="shared" si="371"/>
        <v>1502439</v>
      </c>
      <c r="N604" s="453">
        <f t="shared" si="371"/>
        <v>2091641</v>
      </c>
      <c r="O604" s="453">
        <f t="shared" si="371"/>
        <v>0</v>
      </c>
      <c r="P604" s="453">
        <f t="shared" si="371"/>
        <v>1547006</v>
      </c>
      <c r="Q604" s="453">
        <f t="shared" si="371"/>
        <v>544635</v>
      </c>
      <c r="R604" s="453">
        <f t="shared" si="371"/>
        <v>2118754</v>
      </c>
      <c r="S604" s="453">
        <f t="shared" si="371"/>
        <v>0</v>
      </c>
      <c r="T604" s="453">
        <f t="shared" si="371"/>
        <v>1542525</v>
      </c>
      <c r="U604" s="453">
        <f t="shared" si="371"/>
        <v>576229</v>
      </c>
      <c r="V604" s="453">
        <f t="shared" si="371"/>
        <v>759201</v>
      </c>
      <c r="W604" s="453">
        <f t="shared" si="371"/>
        <v>216493</v>
      </c>
      <c r="X604" s="453">
        <f t="shared" si="371"/>
        <v>93347</v>
      </c>
      <c r="Y604" s="453">
        <f t="shared" si="371"/>
        <v>113146</v>
      </c>
      <c r="Z604" s="453">
        <f t="shared" si="371"/>
        <v>10000</v>
      </c>
      <c r="AA604" s="453">
        <f t="shared" si="371"/>
        <v>0</v>
      </c>
      <c r="AB604" s="454"/>
      <c r="AC604" s="380">
        <f t="shared" si="338"/>
        <v>0</v>
      </c>
    </row>
    <row r="605" spans="1:62" s="10" customFormat="1" ht="39.75" customHeight="1">
      <c r="A605" s="332" t="s">
        <v>39</v>
      </c>
      <c r="B605" s="326" t="s">
        <v>1254</v>
      </c>
      <c r="C605" s="15" t="s">
        <v>62</v>
      </c>
      <c r="D605" s="554"/>
      <c r="E605" s="332"/>
      <c r="F605" s="471"/>
      <c r="G605" s="471"/>
      <c r="H605" s="332"/>
      <c r="I605" s="471"/>
      <c r="J605" s="331"/>
      <c r="K605" s="331"/>
      <c r="L605" s="331"/>
      <c r="M605" s="331"/>
      <c r="N605" s="331"/>
      <c r="O605" s="331"/>
      <c r="P605" s="331"/>
      <c r="Q605" s="331"/>
      <c r="R605" s="331"/>
      <c r="S605" s="331"/>
      <c r="T605" s="331"/>
      <c r="U605" s="331"/>
      <c r="V605" s="331"/>
      <c r="W605" s="331"/>
      <c r="X605" s="331"/>
      <c r="Y605" s="331"/>
      <c r="Z605" s="331"/>
      <c r="AA605" s="331"/>
      <c r="AB605" s="332"/>
      <c r="AC605" s="380">
        <f t="shared" ref="AC605:AC666" si="372">+W605-X605-Y605-Z605</f>
        <v>0</v>
      </c>
    </row>
    <row r="606" spans="1:62" s="10" customFormat="1" ht="45">
      <c r="A606" s="397" t="s">
        <v>467</v>
      </c>
      <c r="B606" s="477" t="s">
        <v>56</v>
      </c>
      <c r="C606" s="15" t="s">
        <v>62</v>
      </c>
      <c r="D606" s="477"/>
      <c r="E606" s="477"/>
      <c r="F606" s="614"/>
      <c r="G606" s="328"/>
      <c r="H606" s="328"/>
      <c r="I606" s="328"/>
      <c r="J606" s="436">
        <f t="shared" ref="J606:AA606" si="373">SUM(J607:J612)</f>
        <v>3498215</v>
      </c>
      <c r="K606" s="436">
        <f t="shared" si="373"/>
        <v>0</v>
      </c>
      <c r="L606" s="436">
        <f t="shared" si="373"/>
        <v>1995776</v>
      </c>
      <c r="M606" s="436">
        <f t="shared" si="373"/>
        <v>1502439</v>
      </c>
      <c r="N606" s="436">
        <f t="shared" si="373"/>
        <v>2091641</v>
      </c>
      <c r="O606" s="436">
        <f t="shared" si="373"/>
        <v>0</v>
      </c>
      <c r="P606" s="436">
        <f t="shared" si="373"/>
        <v>1547006</v>
      </c>
      <c r="Q606" s="436">
        <f t="shared" si="373"/>
        <v>544635</v>
      </c>
      <c r="R606" s="436">
        <f t="shared" si="373"/>
        <v>2118754</v>
      </c>
      <c r="S606" s="436">
        <f t="shared" si="373"/>
        <v>0</v>
      </c>
      <c r="T606" s="436">
        <f t="shared" si="373"/>
        <v>1542525</v>
      </c>
      <c r="U606" s="436">
        <f t="shared" si="373"/>
        <v>576229</v>
      </c>
      <c r="V606" s="436">
        <f t="shared" si="373"/>
        <v>759201</v>
      </c>
      <c r="W606" s="436">
        <f t="shared" si="373"/>
        <v>216493</v>
      </c>
      <c r="X606" s="436">
        <f t="shared" si="373"/>
        <v>93347</v>
      </c>
      <c r="Y606" s="436">
        <f t="shared" si="373"/>
        <v>113146</v>
      </c>
      <c r="Z606" s="436">
        <f t="shared" si="373"/>
        <v>10000</v>
      </c>
      <c r="AA606" s="436">
        <f t="shared" si="373"/>
        <v>0</v>
      </c>
      <c r="AB606" s="437"/>
      <c r="AC606" s="380">
        <f t="shared" si="372"/>
        <v>0</v>
      </c>
    </row>
    <row r="607" spans="1:62" s="8" customFormat="1" ht="60.75" customHeight="1">
      <c r="A607" s="627" t="s">
        <v>144</v>
      </c>
      <c r="B607" s="42" t="s">
        <v>63</v>
      </c>
      <c r="C607" s="15" t="s">
        <v>62</v>
      </c>
      <c r="D607" s="433">
        <v>7895038</v>
      </c>
      <c r="E607" s="13">
        <v>292</v>
      </c>
      <c r="F607" s="37" t="s">
        <v>180</v>
      </c>
      <c r="G607" s="11" t="s">
        <v>64</v>
      </c>
      <c r="H607" s="309" t="s">
        <v>44</v>
      </c>
      <c r="I607" s="433" t="s">
        <v>65</v>
      </c>
      <c r="J607" s="12">
        <f>K607+L607+M607</f>
        <v>663883</v>
      </c>
      <c r="K607" s="407"/>
      <c r="L607" s="407">
        <v>516000</v>
      </c>
      <c r="M607" s="407">
        <f>663883-L607</f>
        <v>147883</v>
      </c>
      <c r="N607" s="12">
        <f>O607+P607+Q607</f>
        <v>492077</v>
      </c>
      <c r="O607" s="407"/>
      <c r="P607" s="407">
        <v>491000</v>
      </c>
      <c r="Q607" s="407">
        <v>1077</v>
      </c>
      <c r="R607" s="12">
        <f>S607+T607+U607</f>
        <v>561085</v>
      </c>
      <c r="S607" s="407"/>
      <c r="T607" s="407">
        <v>491000</v>
      </c>
      <c r="U607" s="407">
        <v>70085</v>
      </c>
      <c r="V607" s="407">
        <f>14108+30000+19493</f>
        <v>63601</v>
      </c>
      <c r="W607" s="407">
        <f>SUM(X607:AA607)</f>
        <v>58355</v>
      </c>
      <c r="X607" s="407">
        <v>58355</v>
      </c>
      <c r="Y607" s="407"/>
      <c r="Z607" s="407"/>
      <c r="AA607" s="407"/>
      <c r="AB607" s="91" t="s">
        <v>1639</v>
      </c>
      <c r="AC607" s="380">
        <f t="shared" si="372"/>
        <v>0</v>
      </c>
      <c r="AJ607" s="8" t="s">
        <v>685</v>
      </c>
    </row>
    <row r="608" spans="1:62" s="8" customFormat="1" ht="75">
      <c r="A608" s="32" t="s">
        <v>144</v>
      </c>
      <c r="B608" s="27" t="s">
        <v>99</v>
      </c>
      <c r="C608" s="15" t="s">
        <v>62</v>
      </c>
      <c r="D608" s="433">
        <v>7912611</v>
      </c>
      <c r="E608" s="13">
        <v>292</v>
      </c>
      <c r="F608" s="408" t="s">
        <v>100</v>
      </c>
      <c r="G608" s="685" t="s">
        <v>101</v>
      </c>
      <c r="H608" s="685" t="s">
        <v>102</v>
      </c>
      <c r="I608" s="13" t="s">
        <v>103</v>
      </c>
      <c r="J608" s="12">
        <f>K608+L608+M608</f>
        <v>682260</v>
      </c>
      <c r="K608" s="123"/>
      <c r="L608" s="407">
        <v>348000</v>
      </c>
      <c r="M608" s="407">
        <f>682260-L608</f>
        <v>334260</v>
      </c>
      <c r="N608" s="12">
        <f>O608+P608+Q608</f>
        <v>206801</v>
      </c>
      <c r="O608" s="407"/>
      <c r="P608" s="407">
        <v>206751</v>
      </c>
      <c r="Q608" s="407">
        <v>50</v>
      </c>
      <c r="R608" s="12">
        <f>S608+T608+U608</f>
        <v>206801</v>
      </c>
      <c r="S608" s="407"/>
      <c r="T608" s="407">
        <v>206751</v>
      </c>
      <c r="U608" s="407">
        <v>50</v>
      </c>
      <c r="V608" s="407">
        <v>148000</v>
      </c>
      <c r="W608" s="407">
        <f t="shared" ref="W608:W612" si="374">SUM(X608:AA608)</f>
        <v>30000</v>
      </c>
      <c r="X608" s="110">
        <v>30000</v>
      </c>
      <c r="Y608" s="110"/>
      <c r="Z608" s="110"/>
      <c r="AA608" s="110"/>
      <c r="AB608" s="91" t="s">
        <v>1639</v>
      </c>
      <c r="AC608" s="380">
        <f t="shared" si="372"/>
        <v>0</v>
      </c>
      <c r="AJ608" s="8" t="s">
        <v>685</v>
      </c>
    </row>
    <row r="609" spans="1:36" s="8" customFormat="1" ht="90">
      <c r="A609" s="32" t="s">
        <v>144</v>
      </c>
      <c r="B609" s="27" t="s">
        <v>104</v>
      </c>
      <c r="C609" s="15" t="s">
        <v>62</v>
      </c>
      <c r="D609" s="433">
        <v>7918802</v>
      </c>
      <c r="E609" s="13">
        <v>292</v>
      </c>
      <c r="F609" s="408" t="s">
        <v>107</v>
      </c>
      <c r="G609" s="685" t="s">
        <v>108</v>
      </c>
      <c r="H609" s="685" t="s">
        <v>102</v>
      </c>
      <c r="I609" s="685" t="s">
        <v>109</v>
      </c>
      <c r="J609" s="12">
        <f>K609+L609+M609</f>
        <v>212966</v>
      </c>
      <c r="K609" s="123"/>
      <c r="L609" s="407">
        <v>207974</v>
      </c>
      <c r="M609" s="407">
        <f>212966-L609</f>
        <v>4992</v>
      </c>
      <c r="N609" s="12">
        <f>O609+P609+Q609</f>
        <v>131705</v>
      </c>
      <c r="O609" s="407"/>
      <c r="P609" s="407">
        <v>131705</v>
      </c>
      <c r="Q609" s="407"/>
      <c r="R609" s="12">
        <f>S609+T609+U609</f>
        <v>131705</v>
      </c>
      <c r="S609" s="407"/>
      <c r="T609" s="407">
        <v>131705</v>
      </c>
      <c r="U609" s="407"/>
      <c r="V609" s="407">
        <v>62966</v>
      </c>
      <c r="W609" s="407">
        <f t="shared" si="374"/>
        <v>4992</v>
      </c>
      <c r="X609" s="110">
        <v>4992</v>
      </c>
      <c r="Y609" s="110"/>
      <c r="Z609" s="110"/>
      <c r="AA609" s="110"/>
      <c r="AB609" s="91" t="s">
        <v>1639</v>
      </c>
      <c r="AC609" s="380">
        <f t="shared" si="372"/>
        <v>0</v>
      </c>
      <c r="AJ609" s="8" t="s">
        <v>685</v>
      </c>
    </row>
    <row r="610" spans="1:36" s="8" customFormat="1" ht="60">
      <c r="A610" s="32" t="s">
        <v>144</v>
      </c>
      <c r="B610" s="686" t="s">
        <v>105</v>
      </c>
      <c r="C610" s="15" t="s">
        <v>62</v>
      </c>
      <c r="D610" s="433">
        <v>8089918</v>
      </c>
      <c r="E610" s="13">
        <v>292</v>
      </c>
      <c r="F610" s="680" t="s">
        <v>110</v>
      </c>
      <c r="G610" s="680" t="s">
        <v>111</v>
      </c>
      <c r="H610" s="685" t="s">
        <v>53</v>
      </c>
      <c r="I610" s="408" t="s">
        <v>112</v>
      </c>
      <c r="J610" s="12">
        <f>K610+L610+M610</f>
        <v>244802</v>
      </c>
      <c r="K610" s="123"/>
      <c r="L610" s="407">
        <v>124802</v>
      </c>
      <c r="M610" s="407">
        <f>244802-L610</f>
        <v>120000</v>
      </c>
      <c r="N610" s="687">
        <v>38330</v>
      </c>
      <c r="O610" s="123"/>
      <c r="P610" s="123"/>
      <c r="Q610" s="687">
        <v>38330</v>
      </c>
      <c r="R610" s="687">
        <v>38330</v>
      </c>
      <c r="S610" s="407"/>
      <c r="T610" s="407"/>
      <c r="U610" s="687">
        <v>38330</v>
      </c>
      <c r="V610" s="407">
        <v>204802</v>
      </c>
      <c r="W610" s="407">
        <f t="shared" si="374"/>
        <v>5000</v>
      </c>
      <c r="X610" s="110"/>
      <c r="Y610" s="110"/>
      <c r="Z610" s="110">
        <v>5000</v>
      </c>
      <c r="AA610" s="110"/>
      <c r="AB610" s="91" t="s">
        <v>1639</v>
      </c>
      <c r="AC610" s="380">
        <f t="shared" si="372"/>
        <v>0</v>
      </c>
      <c r="AJ610" s="8" t="s">
        <v>685</v>
      </c>
    </row>
    <row r="611" spans="1:36" s="8" customFormat="1" ht="120">
      <c r="A611" s="430" t="s">
        <v>144</v>
      </c>
      <c r="B611" s="688" t="s">
        <v>414</v>
      </c>
      <c r="C611" s="15" t="s">
        <v>62</v>
      </c>
      <c r="D611" s="433">
        <v>7826468</v>
      </c>
      <c r="E611" s="13">
        <v>292</v>
      </c>
      <c r="F611" s="13" t="s">
        <v>415</v>
      </c>
      <c r="G611" s="13" t="s">
        <v>416</v>
      </c>
      <c r="H611" s="13" t="s">
        <v>127</v>
      </c>
      <c r="I611" s="13" t="s">
        <v>417</v>
      </c>
      <c r="J611" s="12">
        <v>1274317</v>
      </c>
      <c r="K611" s="12"/>
      <c r="L611" s="12">
        <v>799000</v>
      </c>
      <c r="M611" s="12">
        <v>475317</v>
      </c>
      <c r="N611" s="12">
        <f>+O611+P611+Q611</f>
        <v>893269</v>
      </c>
      <c r="O611" s="12"/>
      <c r="P611" s="12">
        <f>893269-Q611</f>
        <v>717550</v>
      </c>
      <c r="Q611" s="12">
        <v>175719</v>
      </c>
      <c r="R611" s="12">
        <v>850354</v>
      </c>
      <c r="S611" s="12"/>
      <c r="T611" s="12">
        <v>713069</v>
      </c>
      <c r="U611" s="12">
        <f>+R611-T611</f>
        <v>137285</v>
      </c>
      <c r="V611" s="407">
        <f>223946+50886</f>
        <v>274832</v>
      </c>
      <c r="W611" s="407">
        <f t="shared" si="374"/>
        <v>113146</v>
      </c>
      <c r="X611" s="12"/>
      <c r="Y611" s="12">
        <v>113146</v>
      </c>
      <c r="Z611" s="12"/>
      <c r="AA611" s="12"/>
      <c r="AB611" s="91" t="s">
        <v>1639</v>
      </c>
      <c r="AC611" s="380">
        <f t="shared" si="372"/>
        <v>0</v>
      </c>
      <c r="AJ611" s="8" t="s">
        <v>685</v>
      </c>
    </row>
    <row r="612" spans="1:36" s="8" customFormat="1" ht="54.75" customHeight="1">
      <c r="A612" s="430" t="s">
        <v>144</v>
      </c>
      <c r="B612" s="25" t="s">
        <v>418</v>
      </c>
      <c r="C612" s="15" t="s">
        <v>62</v>
      </c>
      <c r="D612" s="433">
        <v>7839441</v>
      </c>
      <c r="E612" s="13">
        <v>292</v>
      </c>
      <c r="F612" s="13" t="s">
        <v>419</v>
      </c>
      <c r="G612" s="13" t="s">
        <v>420</v>
      </c>
      <c r="H612" s="13" t="s">
        <v>421</v>
      </c>
      <c r="I612" s="13" t="s">
        <v>422</v>
      </c>
      <c r="J612" s="12">
        <v>419987</v>
      </c>
      <c r="K612" s="12"/>
      <c r="L612" s="12"/>
      <c r="M612" s="12">
        <v>419987</v>
      </c>
      <c r="N612" s="12">
        <f>+O612+P612+Q612</f>
        <v>329459</v>
      </c>
      <c r="O612" s="12"/>
      <c r="P612" s="12"/>
      <c r="Q612" s="12">
        <v>329459</v>
      </c>
      <c r="R612" s="12">
        <f>327772+2707</f>
        <v>330479</v>
      </c>
      <c r="S612" s="12"/>
      <c r="T612" s="12"/>
      <c r="U612" s="12">
        <f>+R612-T612</f>
        <v>330479</v>
      </c>
      <c r="V612" s="407">
        <v>5000</v>
      </c>
      <c r="W612" s="407">
        <f t="shared" si="374"/>
        <v>5000</v>
      </c>
      <c r="X612" s="12"/>
      <c r="Y612" s="12"/>
      <c r="Z612" s="12">
        <v>5000</v>
      </c>
      <c r="AA612" s="12"/>
      <c r="AB612" s="91" t="s">
        <v>1639</v>
      </c>
      <c r="AC612" s="380">
        <f t="shared" si="372"/>
        <v>0</v>
      </c>
      <c r="AJ612" s="8" t="s">
        <v>685</v>
      </c>
    </row>
    <row r="613" spans="1:36" s="10" customFormat="1" ht="24" customHeight="1">
      <c r="A613" s="398" t="s">
        <v>1306</v>
      </c>
      <c r="B613" s="413" t="s">
        <v>1307</v>
      </c>
      <c r="C613" s="15"/>
      <c r="D613" s="423"/>
      <c r="E613" s="328"/>
      <c r="F613" s="328"/>
      <c r="G613" s="328"/>
      <c r="H613" s="328"/>
      <c r="I613" s="328"/>
      <c r="J613" s="436"/>
      <c r="K613" s="436"/>
      <c r="L613" s="436"/>
      <c r="M613" s="436"/>
      <c r="N613" s="436"/>
      <c r="O613" s="436"/>
      <c r="P613" s="436"/>
      <c r="Q613" s="436"/>
      <c r="R613" s="436"/>
      <c r="S613" s="436"/>
      <c r="T613" s="436"/>
      <c r="U613" s="436"/>
      <c r="V613" s="436"/>
      <c r="W613" s="436"/>
      <c r="X613" s="436"/>
      <c r="Y613" s="436"/>
      <c r="Z613" s="436"/>
      <c r="AA613" s="436"/>
      <c r="AB613" s="437"/>
      <c r="AC613" s="380">
        <f t="shared" si="372"/>
        <v>0</v>
      </c>
    </row>
    <row r="614" spans="1:36" s="8" customFormat="1" ht="48" customHeight="1">
      <c r="A614" s="474">
        <v>4</v>
      </c>
      <c r="B614" s="317" t="s">
        <v>80</v>
      </c>
      <c r="C614" s="317" t="s">
        <v>80</v>
      </c>
      <c r="D614" s="317"/>
      <c r="E614" s="317"/>
      <c r="F614" s="37"/>
      <c r="G614" s="320"/>
      <c r="H614" s="320"/>
      <c r="I614" s="320"/>
      <c r="J614" s="14">
        <f t="shared" ref="J614:AA614" si="375">J615</f>
        <v>436500</v>
      </c>
      <c r="K614" s="14">
        <f t="shared" si="375"/>
        <v>0</v>
      </c>
      <c r="L614" s="14">
        <f t="shared" si="375"/>
        <v>260242</v>
      </c>
      <c r="M614" s="14">
        <f t="shared" si="375"/>
        <v>176258</v>
      </c>
      <c r="N614" s="14">
        <f t="shared" si="375"/>
        <v>76062</v>
      </c>
      <c r="O614" s="14">
        <f t="shared" si="375"/>
        <v>0</v>
      </c>
      <c r="P614" s="14">
        <f t="shared" si="375"/>
        <v>68372</v>
      </c>
      <c r="Q614" s="14">
        <f t="shared" si="375"/>
        <v>7690</v>
      </c>
      <c r="R614" s="14">
        <f t="shared" si="375"/>
        <v>75872</v>
      </c>
      <c r="S614" s="14">
        <f t="shared" si="375"/>
        <v>0</v>
      </c>
      <c r="T614" s="14">
        <f t="shared" si="375"/>
        <v>68372</v>
      </c>
      <c r="U614" s="14">
        <f t="shared" si="375"/>
        <v>7500</v>
      </c>
      <c r="V614" s="14">
        <f t="shared" si="375"/>
        <v>164948</v>
      </c>
      <c r="W614" s="14">
        <f t="shared" si="375"/>
        <v>50190</v>
      </c>
      <c r="X614" s="14">
        <f t="shared" si="375"/>
        <v>190</v>
      </c>
      <c r="Y614" s="14">
        <f t="shared" si="375"/>
        <v>50000</v>
      </c>
      <c r="Z614" s="14">
        <f t="shared" si="375"/>
        <v>0</v>
      </c>
      <c r="AA614" s="14">
        <f t="shared" si="375"/>
        <v>0</v>
      </c>
      <c r="AB614" s="102"/>
      <c r="AC614" s="380">
        <f t="shared" si="372"/>
        <v>0</v>
      </c>
    </row>
    <row r="615" spans="1:36" s="10" customFormat="1" ht="32.25" customHeight="1">
      <c r="A615" s="393" t="s">
        <v>1290</v>
      </c>
      <c r="B615" s="394" t="s">
        <v>38</v>
      </c>
      <c r="C615" s="15" t="s">
        <v>80</v>
      </c>
      <c r="D615" s="394"/>
      <c r="E615" s="394"/>
      <c r="F615" s="421"/>
      <c r="G615" s="421"/>
      <c r="H615" s="421"/>
      <c r="I615" s="421"/>
      <c r="J615" s="453">
        <f t="shared" ref="J615:AA615" si="376">J618+J616+J620</f>
        <v>436500</v>
      </c>
      <c r="K615" s="453">
        <f t="shared" si="376"/>
        <v>0</v>
      </c>
      <c r="L615" s="453">
        <f t="shared" si="376"/>
        <v>260242</v>
      </c>
      <c r="M615" s="453">
        <f t="shared" si="376"/>
        <v>176258</v>
      </c>
      <c r="N615" s="453">
        <f t="shared" si="376"/>
        <v>76062</v>
      </c>
      <c r="O615" s="453">
        <f t="shared" si="376"/>
        <v>0</v>
      </c>
      <c r="P615" s="453">
        <f t="shared" si="376"/>
        <v>68372</v>
      </c>
      <c r="Q615" s="453">
        <f t="shared" si="376"/>
        <v>7690</v>
      </c>
      <c r="R615" s="453">
        <f t="shared" si="376"/>
        <v>75872</v>
      </c>
      <c r="S615" s="453">
        <f t="shared" si="376"/>
        <v>0</v>
      </c>
      <c r="T615" s="453">
        <f t="shared" si="376"/>
        <v>68372</v>
      </c>
      <c r="U615" s="453">
        <f t="shared" si="376"/>
        <v>7500</v>
      </c>
      <c r="V615" s="453">
        <f t="shared" si="376"/>
        <v>164948</v>
      </c>
      <c r="W615" s="453">
        <f t="shared" si="376"/>
        <v>50190</v>
      </c>
      <c r="X615" s="453">
        <f t="shared" si="376"/>
        <v>190</v>
      </c>
      <c r="Y615" s="453">
        <f t="shared" si="376"/>
        <v>50000</v>
      </c>
      <c r="Z615" s="453">
        <f t="shared" si="376"/>
        <v>0</v>
      </c>
      <c r="AA615" s="453">
        <f t="shared" si="376"/>
        <v>0</v>
      </c>
      <c r="AB615" s="454"/>
      <c r="AC615" s="380">
        <f t="shared" si="372"/>
        <v>0</v>
      </c>
    </row>
    <row r="616" spans="1:36" s="10" customFormat="1" ht="39.75" customHeight="1">
      <c r="A616" s="332" t="s">
        <v>39</v>
      </c>
      <c r="B616" s="326" t="s">
        <v>1254</v>
      </c>
      <c r="C616" s="15" t="s">
        <v>80</v>
      </c>
      <c r="D616" s="554"/>
      <c r="E616" s="332"/>
      <c r="F616" s="471"/>
      <c r="G616" s="471"/>
      <c r="H616" s="332"/>
      <c r="I616" s="471"/>
      <c r="J616" s="331">
        <f>+J617</f>
        <v>11500</v>
      </c>
      <c r="K616" s="331">
        <f t="shared" ref="K616:AA616" si="377">+K617</f>
        <v>0</v>
      </c>
      <c r="L616" s="331">
        <f t="shared" si="377"/>
        <v>0</v>
      </c>
      <c r="M616" s="331">
        <f t="shared" si="377"/>
        <v>11500</v>
      </c>
      <c r="N616" s="331">
        <f t="shared" si="377"/>
        <v>7690</v>
      </c>
      <c r="O616" s="331">
        <f t="shared" si="377"/>
        <v>0</v>
      </c>
      <c r="P616" s="331">
        <f t="shared" si="377"/>
        <v>0</v>
      </c>
      <c r="Q616" s="331">
        <f t="shared" si="377"/>
        <v>7690</v>
      </c>
      <c r="R616" s="331">
        <f t="shared" si="377"/>
        <v>7500</v>
      </c>
      <c r="S616" s="331">
        <f t="shared" si="377"/>
        <v>0</v>
      </c>
      <c r="T616" s="331">
        <f t="shared" si="377"/>
        <v>0</v>
      </c>
      <c r="U616" s="331">
        <f t="shared" si="377"/>
        <v>7500</v>
      </c>
      <c r="V616" s="331">
        <f t="shared" si="377"/>
        <v>190</v>
      </c>
      <c r="W616" s="331">
        <f t="shared" si="377"/>
        <v>190</v>
      </c>
      <c r="X616" s="331">
        <f t="shared" si="377"/>
        <v>190</v>
      </c>
      <c r="Y616" s="331">
        <f t="shared" si="377"/>
        <v>0</v>
      </c>
      <c r="Z616" s="331">
        <f t="shared" si="377"/>
        <v>0</v>
      </c>
      <c r="AA616" s="331">
        <f t="shared" si="377"/>
        <v>0</v>
      </c>
      <c r="AB616" s="332"/>
      <c r="AC616" s="380">
        <f t="shared" si="372"/>
        <v>0</v>
      </c>
    </row>
    <row r="617" spans="1:36" s="8" customFormat="1" ht="60">
      <c r="A617" s="627" t="s">
        <v>144</v>
      </c>
      <c r="B617" s="544" t="s">
        <v>1277</v>
      </c>
      <c r="C617" s="15" t="s">
        <v>80</v>
      </c>
      <c r="D617" s="350">
        <v>7645281</v>
      </c>
      <c r="E617" s="42"/>
      <c r="F617" s="37"/>
      <c r="G617" s="37"/>
      <c r="H617" s="641" t="s">
        <v>834</v>
      </c>
      <c r="I617" s="21" t="s">
        <v>1278</v>
      </c>
      <c r="J617" s="12">
        <f>M617</f>
        <v>11500</v>
      </c>
      <c r="K617" s="407"/>
      <c r="L617" s="407"/>
      <c r="M617" s="407">
        <v>11500</v>
      </c>
      <c r="N617" s="12">
        <f>O617+P617+Q617</f>
        <v>7690</v>
      </c>
      <c r="O617" s="407"/>
      <c r="P617" s="12"/>
      <c r="Q617" s="407">
        <v>7690</v>
      </c>
      <c r="R617" s="12">
        <f>S617+T617+U617</f>
        <v>7500</v>
      </c>
      <c r="S617" s="407"/>
      <c r="T617" s="12"/>
      <c r="U617" s="407">
        <v>7500</v>
      </c>
      <c r="V617" s="407">
        <v>190</v>
      </c>
      <c r="W617" s="12">
        <f>SUM(X617:AA617)</f>
        <v>190</v>
      </c>
      <c r="X617" s="407">
        <v>190</v>
      </c>
      <c r="Y617" s="407"/>
      <c r="Z617" s="407"/>
      <c r="AA617" s="407"/>
      <c r="AB617" s="349" t="s">
        <v>1308</v>
      </c>
      <c r="AC617" s="380">
        <f>+W617-X617-Y617-Z617</f>
        <v>0</v>
      </c>
      <c r="AJ617" s="8" t="s">
        <v>1308</v>
      </c>
    </row>
    <row r="618" spans="1:36" s="10" customFormat="1" ht="45">
      <c r="A618" s="397" t="s">
        <v>467</v>
      </c>
      <c r="B618" s="477" t="s">
        <v>56</v>
      </c>
      <c r="C618" s="15" t="s">
        <v>80</v>
      </c>
      <c r="D618" s="477"/>
      <c r="E618" s="477"/>
      <c r="F618" s="614"/>
      <c r="G618" s="328"/>
      <c r="H618" s="328"/>
      <c r="I618" s="328"/>
      <c r="J618" s="436">
        <f t="shared" ref="J618:AA618" si="378">SUM(J619:J619)</f>
        <v>425000</v>
      </c>
      <c r="K618" s="436">
        <f t="shared" si="378"/>
        <v>0</v>
      </c>
      <c r="L618" s="436">
        <f t="shared" si="378"/>
        <v>260242</v>
      </c>
      <c r="M618" s="436">
        <f t="shared" si="378"/>
        <v>164758</v>
      </c>
      <c r="N618" s="436">
        <f t="shared" si="378"/>
        <v>68372</v>
      </c>
      <c r="O618" s="436">
        <f t="shared" si="378"/>
        <v>0</v>
      </c>
      <c r="P618" s="436">
        <f t="shared" si="378"/>
        <v>68372</v>
      </c>
      <c r="Q618" s="436">
        <f t="shared" si="378"/>
        <v>0</v>
      </c>
      <c r="R618" s="436">
        <f t="shared" si="378"/>
        <v>68372</v>
      </c>
      <c r="S618" s="436">
        <f t="shared" si="378"/>
        <v>0</v>
      </c>
      <c r="T618" s="436">
        <f t="shared" si="378"/>
        <v>68372</v>
      </c>
      <c r="U618" s="436">
        <f t="shared" si="378"/>
        <v>0</v>
      </c>
      <c r="V618" s="436">
        <f t="shared" si="378"/>
        <v>164758</v>
      </c>
      <c r="W618" s="436">
        <f t="shared" si="378"/>
        <v>50000</v>
      </c>
      <c r="X618" s="436">
        <f t="shared" si="378"/>
        <v>0</v>
      </c>
      <c r="Y618" s="436">
        <f t="shared" si="378"/>
        <v>50000</v>
      </c>
      <c r="Z618" s="436">
        <f t="shared" si="378"/>
        <v>0</v>
      </c>
      <c r="AA618" s="436">
        <f t="shared" si="378"/>
        <v>0</v>
      </c>
      <c r="AB618" s="437"/>
      <c r="AC618" s="380">
        <f t="shared" si="372"/>
        <v>0</v>
      </c>
    </row>
    <row r="619" spans="1:36" s="8" customFormat="1" ht="75">
      <c r="A619" s="627" t="s">
        <v>144</v>
      </c>
      <c r="B619" s="42" t="s">
        <v>81</v>
      </c>
      <c r="C619" s="15" t="s">
        <v>80</v>
      </c>
      <c r="D619" s="42"/>
      <c r="E619" s="42"/>
      <c r="F619" s="37" t="s">
        <v>82</v>
      </c>
      <c r="G619" s="37" t="s">
        <v>83</v>
      </c>
      <c r="H619" s="13" t="s">
        <v>41</v>
      </c>
      <c r="I619" s="13" t="s">
        <v>84</v>
      </c>
      <c r="J619" s="12">
        <v>425000</v>
      </c>
      <c r="K619" s="407"/>
      <c r="L619" s="407">
        <v>260242</v>
      </c>
      <c r="M619" s="407">
        <v>164758</v>
      </c>
      <c r="N619" s="12">
        <f>O619+P619+Q619</f>
        <v>68372</v>
      </c>
      <c r="O619" s="407"/>
      <c r="P619" s="12">
        <v>68372</v>
      </c>
      <c r="Q619" s="407"/>
      <c r="R619" s="12">
        <f>S619+T619+U619</f>
        <v>68372</v>
      </c>
      <c r="S619" s="407"/>
      <c r="T619" s="12">
        <v>68372</v>
      </c>
      <c r="U619" s="407"/>
      <c r="V619" s="407">
        <v>164758</v>
      </c>
      <c r="W619" s="12">
        <f>SUM(X619:AA619)</f>
        <v>50000</v>
      </c>
      <c r="X619" s="407"/>
      <c r="Y619" s="407">
        <v>50000</v>
      </c>
      <c r="Z619" s="407"/>
      <c r="AA619" s="407"/>
      <c r="AB619" s="349" t="s">
        <v>1622</v>
      </c>
      <c r="AC619" s="380">
        <f t="shared" si="372"/>
        <v>0</v>
      </c>
      <c r="AJ619" s="8" t="s">
        <v>685</v>
      </c>
    </row>
    <row r="620" spans="1:36" s="10" customFormat="1" ht="24" customHeight="1">
      <c r="A620" s="398" t="s">
        <v>1306</v>
      </c>
      <c r="B620" s="413" t="s">
        <v>1307</v>
      </c>
      <c r="C620" s="15" t="s">
        <v>80</v>
      </c>
      <c r="D620" s="423"/>
      <c r="E620" s="328"/>
      <c r="F620" s="328"/>
      <c r="G620" s="328"/>
      <c r="H620" s="328"/>
      <c r="I620" s="328"/>
      <c r="J620" s="436"/>
      <c r="K620" s="436"/>
      <c r="L620" s="436"/>
      <c r="M620" s="436"/>
      <c r="N620" s="436"/>
      <c r="O620" s="436"/>
      <c r="P620" s="436"/>
      <c r="Q620" s="436"/>
      <c r="R620" s="436"/>
      <c r="S620" s="436"/>
      <c r="T620" s="436"/>
      <c r="U620" s="436"/>
      <c r="V620" s="436"/>
      <c r="W620" s="436"/>
      <c r="X620" s="436"/>
      <c r="Y620" s="436"/>
      <c r="Z620" s="436"/>
      <c r="AA620" s="436"/>
      <c r="AB620" s="437"/>
      <c r="AC620" s="380">
        <f t="shared" si="372"/>
        <v>0</v>
      </c>
    </row>
    <row r="621" spans="1:36" s="8" customFormat="1" ht="38.25" customHeight="1">
      <c r="A621" s="474">
        <v>5</v>
      </c>
      <c r="B621" s="317" t="s">
        <v>54</v>
      </c>
      <c r="C621" s="317" t="s">
        <v>54</v>
      </c>
      <c r="D621" s="317"/>
      <c r="E621" s="317"/>
      <c r="F621" s="37"/>
      <c r="G621" s="320"/>
      <c r="H621" s="320"/>
      <c r="I621" s="320"/>
      <c r="J621" s="14">
        <f t="shared" ref="J621:AA621" si="379">+J622</f>
        <v>296483</v>
      </c>
      <c r="K621" s="14">
        <f t="shared" si="379"/>
        <v>0</v>
      </c>
      <c r="L621" s="14">
        <f t="shared" si="379"/>
        <v>154500</v>
      </c>
      <c r="M621" s="14">
        <f t="shared" si="379"/>
        <v>141983</v>
      </c>
      <c r="N621" s="14">
        <f t="shared" si="379"/>
        <v>253081</v>
      </c>
      <c r="O621" s="14">
        <f t="shared" si="379"/>
        <v>0</v>
      </c>
      <c r="P621" s="14">
        <f t="shared" si="379"/>
        <v>141800</v>
      </c>
      <c r="Q621" s="14">
        <f t="shared" si="379"/>
        <v>111281</v>
      </c>
      <c r="R621" s="14">
        <f t="shared" si="379"/>
        <v>248579</v>
      </c>
      <c r="S621" s="14">
        <f t="shared" si="379"/>
        <v>0</v>
      </c>
      <c r="T621" s="14">
        <f t="shared" si="379"/>
        <v>137300</v>
      </c>
      <c r="U621" s="14">
        <f t="shared" si="379"/>
        <v>111279</v>
      </c>
      <c r="V621" s="14">
        <f t="shared" si="379"/>
        <v>24054.779000000002</v>
      </c>
      <c r="W621" s="14">
        <f t="shared" si="379"/>
        <v>21673.779000000002</v>
      </c>
      <c r="X621" s="14">
        <f t="shared" si="379"/>
        <v>21673.779000000002</v>
      </c>
      <c r="Y621" s="14">
        <f t="shared" si="379"/>
        <v>0</v>
      </c>
      <c r="Z621" s="14">
        <f t="shared" si="379"/>
        <v>0</v>
      </c>
      <c r="AA621" s="14">
        <f t="shared" si="379"/>
        <v>0</v>
      </c>
      <c r="AB621" s="102"/>
      <c r="AC621" s="380">
        <f t="shared" si="372"/>
        <v>0</v>
      </c>
    </row>
    <row r="622" spans="1:36" s="10" customFormat="1" ht="38.25" customHeight="1">
      <c r="A622" s="678" t="s">
        <v>1309</v>
      </c>
      <c r="B622" s="394" t="s">
        <v>38</v>
      </c>
      <c r="C622" s="15" t="s">
        <v>54</v>
      </c>
      <c r="D622" s="394"/>
      <c r="E622" s="394"/>
      <c r="F622" s="614"/>
      <c r="G622" s="421"/>
      <c r="H622" s="421"/>
      <c r="I622" s="421"/>
      <c r="J622" s="453">
        <f t="shared" ref="J622:AA622" si="380">+J623+J626+J638</f>
        <v>296483</v>
      </c>
      <c r="K622" s="453">
        <f t="shared" si="380"/>
        <v>0</v>
      </c>
      <c r="L622" s="453">
        <f t="shared" si="380"/>
        <v>154500</v>
      </c>
      <c r="M622" s="453">
        <f t="shared" si="380"/>
        <v>141983</v>
      </c>
      <c r="N622" s="453">
        <f t="shared" si="380"/>
        <v>253081</v>
      </c>
      <c r="O622" s="453">
        <f t="shared" si="380"/>
        <v>0</v>
      </c>
      <c r="P622" s="453">
        <f t="shared" si="380"/>
        <v>141800</v>
      </c>
      <c r="Q622" s="453">
        <f t="shared" si="380"/>
        <v>111281</v>
      </c>
      <c r="R622" s="453">
        <f t="shared" si="380"/>
        <v>248579</v>
      </c>
      <c r="S622" s="453">
        <f t="shared" si="380"/>
        <v>0</v>
      </c>
      <c r="T622" s="453">
        <f t="shared" si="380"/>
        <v>137300</v>
      </c>
      <c r="U622" s="453">
        <f t="shared" si="380"/>
        <v>111279</v>
      </c>
      <c r="V622" s="453">
        <f t="shared" si="380"/>
        <v>24054.779000000002</v>
      </c>
      <c r="W622" s="453">
        <f t="shared" si="380"/>
        <v>21673.779000000002</v>
      </c>
      <c r="X622" s="453">
        <f t="shared" si="380"/>
        <v>21673.779000000002</v>
      </c>
      <c r="Y622" s="453">
        <f t="shared" si="380"/>
        <v>0</v>
      </c>
      <c r="Z622" s="453">
        <f t="shared" si="380"/>
        <v>0</v>
      </c>
      <c r="AA622" s="453">
        <f t="shared" si="380"/>
        <v>0</v>
      </c>
      <c r="AB622" s="454"/>
      <c r="AC622" s="380">
        <f t="shared" si="372"/>
        <v>0</v>
      </c>
    </row>
    <row r="623" spans="1:36" s="10" customFormat="1" ht="39.75" customHeight="1">
      <c r="A623" s="332" t="s">
        <v>39</v>
      </c>
      <c r="B623" s="326" t="s">
        <v>1254</v>
      </c>
      <c r="C623" s="15" t="s">
        <v>54</v>
      </c>
      <c r="D623" s="554"/>
      <c r="E623" s="332"/>
      <c r="F623" s="471"/>
      <c r="G623" s="471"/>
      <c r="H623" s="332"/>
      <c r="I623" s="471"/>
      <c r="J623" s="331">
        <f>+J624+J625</f>
        <v>99000</v>
      </c>
      <c r="K623" s="331">
        <f t="shared" ref="K623:AA623" si="381">+K624+K625</f>
        <v>0</v>
      </c>
      <c r="L623" s="331">
        <f t="shared" si="381"/>
        <v>81000</v>
      </c>
      <c r="M623" s="331">
        <f t="shared" si="381"/>
        <v>18000</v>
      </c>
      <c r="N623" s="331">
        <f t="shared" si="381"/>
        <v>84300</v>
      </c>
      <c r="O623" s="331">
        <f t="shared" si="381"/>
        <v>0</v>
      </c>
      <c r="P623" s="331">
        <f t="shared" si="381"/>
        <v>68300</v>
      </c>
      <c r="Q623" s="331">
        <f t="shared" si="381"/>
        <v>16000</v>
      </c>
      <c r="R623" s="331">
        <f t="shared" si="381"/>
        <v>79800</v>
      </c>
      <c r="S623" s="331">
        <f t="shared" si="381"/>
        <v>0</v>
      </c>
      <c r="T623" s="331">
        <f t="shared" si="381"/>
        <v>63800</v>
      </c>
      <c r="U623" s="331">
        <f t="shared" si="381"/>
        <v>16000</v>
      </c>
      <c r="V623" s="331">
        <f t="shared" si="381"/>
        <v>2583</v>
      </c>
      <c r="W623" s="331">
        <f t="shared" si="381"/>
        <v>2583</v>
      </c>
      <c r="X623" s="331">
        <f t="shared" si="381"/>
        <v>2583</v>
      </c>
      <c r="Y623" s="331">
        <f t="shared" si="381"/>
        <v>0</v>
      </c>
      <c r="Z623" s="331">
        <f t="shared" si="381"/>
        <v>0</v>
      </c>
      <c r="AA623" s="331">
        <f t="shared" si="381"/>
        <v>0</v>
      </c>
      <c r="AB623" s="332"/>
      <c r="AC623" s="380">
        <f t="shared" si="372"/>
        <v>0</v>
      </c>
    </row>
    <row r="624" spans="1:36" s="8" customFormat="1" ht="88.5" customHeight="1">
      <c r="A624" s="430" t="s">
        <v>144</v>
      </c>
      <c r="B624" s="622" t="s">
        <v>1232</v>
      </c>
      <c r="C624" s="15" t="s">
        <v>54</v>
      </c>
      <c r="D624" s="689" t="s">
        <v>1233</v>
      </c>
      <c r="E624" s="13">
        <v>292</v>
      </c>
      <c r="F624" s="13" t="s">
        <v>1240</v>
      </c>
      <c r="G624" s="309" t="s">
        <v>1234</v>
      </c>
      <c r="H624" s="433" t="s">
        <v>1235</v>
      </c>
      <c r="I624" s="690" t="s">
        <v>1236</v>
      </c>
      <c r="J624" s="12">
        <v>81000</v>
      </c>
      <c r="K624" s="12"/>
      <c r="L624" s="12">
        <v>81000</v>
      </c>
      <c r="M624" s="407"/>
      <c r="N624" s="12">
        <f>62800+5500</f>
        <v>68300</v>
      </c>
      <c r="O624" s="12"/>
      <c r="P624" s="12">
        <f>63800+4500</f>
        <v>68300</v>
      </c>
      <c r="Q624" s="399"/>
      <c r="R624" s="12">
        <v>63800</v>
      </c>
      <c r="S624" s="12"/>
      <c r="T624" s="12">
        <v>63800</v>
      </c>
      <c r="U624" s="407"/>
      <c r="V624" s="12">
        <v>583</v>
      </c>
      <c r="W624" s="12">
        <f>SUM(X624:AA624)</f>
        <v>583</v>
      </c>
      <c r="X624" s="12">
        <v>583</v>
      </c>
      <c r="Y624" s="12"/>
      <c r="Z624" s="12"/>
      <c r="AA624" s="12"/>
      <c r="AB624" s="91" t="s">
        <v>1308</v>
      </c>
      <c r="AC624" s="380">
        <f t="shared" si="372"/>
        <v>0</v>
      </c>
      <c r="AJ624" s="555" t="s">
        <v>1308</v>
      </c>
    </row>
    <row r="625" spans="1:36" s="8" customFormat="1" ht="66.75" customHeight="1">
      <c r="A625" s="430" t="s">
        <v>144</v>
      </c>
      <c r="B625" s="622" t="s">
        <v>781</v>
      </c>
      <c r="C625" s="15" t="s">
        <v>54</v>
      </c>
      <c r="D625" s="433">
        <v>7727649</v>
      </c>
      <c r="E625" s="433"/>
      <c r="F625" s="433" t="s">
        <v>771</v>
      </c>
      <c r="G625" s="13" t="s">
        <v>782</v>
      </c>
      <c r="H625" s="13">
        <v>2020</v>
      </c>
      <c r="I625" s="690" t="s">
        <v>783</v>
      </c>
      <c r="J625" s="12">
        <v>18000</v>
      </c>
      <c r="K625" s="457"/>
      <c r="L625" s="12"/>
      <c r="M625" s="12">
        <v>18000</v>
      </c>
      <c r="N625" s="12">
        <v>16000</v>
      </c>
      <c r="O625" s="12"/>
      <c r="P625" s="12"/>
      <c r="Q625" s="12">
        <v>16000</v>
      </c>
      <c r="R625" s="12">
        <v>16000</v>
      </c>
      <c r="S625" s="12"/>
      <c r="T625" s="12"/>
      <c r="U625" s="12">
        <v>16000</v>
      </c>
      <c r="V625" s="407">
        <v>2000</v>
      </c>
      <c r="W625" s="12">
        <f>SUM(X625:AA625)</f>
        <v>2000</v>
      </c>
      <c r="X625" s="12">
        <v>2000</v>
      </c>
      <c r="Y625" s="12"/>
      <c r="Z625" s="12"/>
      <c r="AA625" s="12"/>
      <c r="AB625" s="91" t="s">
        <v>1308</v>
      </c>
      <c r="AC625" s="380">
        <f>+W625-X625-Y625-Z625</f>
        <v>0</v>
      </c>
      <c r="AJ625" s="8" t="s">
        <v>1308</v>
      </c>
    </row>
    <row r="626" spans="1:36" s="10" customFormat="1" ht="49.5" customHeight="1">
      <c r="A626" s="397" t="s">
        <v>467</v>
      </c>
      <c r="B626" s="477" t="s">
        <v>56</v>
      </c>
      <c r="C626" s="15" t="s">
        <v>54</v>
      </c>
      <c r="D626" s="477"/>
      <c r="E626" s="477"/>
      <c r="F626" s="614"/>
      <c r="G626" s="328"/>
      <c r="H626" s="328"/>
      <c r="I626" s="328"/>
      <c r="J626" s="436">
        <f t="shared" ref="J626:AA626" si="382">SUM(J627:J637)</f>
        <v>197483</v>
      </c>
      <c r="K626" s="436">
        <f t="shared" si="382"/>
        <v>0</v>
      </c>
      <c r="L626" s="436">
        <f t="shared" si="382"/>
        <v>73500</v>
      </c>
      <c r="M626" s="436">
        <f t="shared" si="382"/>
        <v>123983</v>
      </c>
      <c r="N626" s="436">
        <f t="shared" si="382"/>
        <v>168781</v>
      </c>
      <c r="O626" s="436">
        <f t="shared" si="382"/>
        <v>0</v>
      </c>
      <c r="P626" s="436">
        <f t="shared" si="382"/>
        <v>73500</v>
      </c>
      <c r="Q626" s="436">
        <f t="shared" si="382"/>
        <v>95281</v>
      </c>
      <c r="R626" s="436">
        <f t="shared" si="382"/>
        <v>168779</v>
      </c>
      <c r="S626" s="436">
        <f t="shared" si="382"/>
        <v>0</v>
      </c>
      <c r="T626" s="436">
        <f t="shared" si="382"/>
        <v>73500</v>
      </c>
      <c r="U626" s="436">
        <f t="shared" si="382"/>
        <v>95279</v>
      </c>
      <c r="V626" s="436">
        <f t="shared" si="382"/>
        <v>21471.779000000002</v>
      </c>
      <c r="W626" s="436">
        <f t="shared" si="382"/>
        <v>19090.779000000002</v>
      </c>
      <c r="X626" s="436">
        <f t="shared" si="382"/>
        <v>19090.779000000002</v>
      </c>
      <c r="Y626" s="436">
        <f t="shared" si="382"/>
        <v>0</v>
      </c>
      <c r="Z626" s="436">
        <f t="shared" si="382"/>
        <v>0</v>
      </c>
      <c r="AA626" s="436">
        <f t="shared" si="382"/>
        <v>0</v>
      </c>
      <c r="AB626" s="437"/>
      <c r="AC626" s="380">
        <f t="shared" si="372"/>
        <v>0</v>
      </c>
    </row>
    <row r="627" spans="1:36" s="8" customFormat="1" ht="70.5" customHeight="1">
      <c r="A627" s="430" t="s">
        <v>144</v>
      </c>
      <c r="B627" s="622" t="s">
        <v>770</v>
      </c>
      <c r="C627" s="15" t="s">
        <v>54</v>
      </c>
      <c r="D627" s="433">
        <v>7863918</v>
      </c>
      <c r="E627" s="433"/>
      <c r="F627" s="433" t="s">
        <v>771</v>
      </c>
      <c r="G627" s="13" t="s">
        <v>772</v>
      </c>
      <c r="H627" s="13" t="s">
        <v>440</v>
      </c>
      <c r="I627" s="690" t="s">
        <v>773</v>
      </c>
      <c r="J627" s="12">
        <v>13500</v>
      </c>
      <c r="K627" s="457"/>
      <c r="L627" s="12"/>
      <c r="M627" s="12">
        <v>13500</v>
      </c>
      <c r="N627" s="12">
        <v>11730</v>
      </c>
      <c r="O627" s="12"/>
      <c r="P627" s="12"/>
      <c r="Q627" s="12">
        <v>11730</v>
      </c>
      <c r="R627" s="12">
        <v>11730</v>
      </c>
      <c r="S627" s="12"/>
      <c r="T627" s="12"/>
      <c r="U627" s="12">
        <v>11730</v>
      </c>
      <c r="V627" s="12">
        <v>225.72900000000001</v>
      </c>
      <c r="W627" s="12">
        <f>SUM(X627:AA627)</f>
        <v>225.72900000000001</v>
      </c>
      <c r="X627" s="12">
        <v>225.72900000000001</v>
      </c>
      <c r="Y627" s="12"/>
      <c r="Z627" s="12"/>
      <c r="AA627" s="12"/>
      <c r="AB627" s="91" t="s">
        <v>1622</v>
      </c>
      <c r="AC627" s="380">
        <f t="shared" si="372"/>
        <v>0</v>
      </c>
      <c r="AJ627" s="8" t="s">
        <v>685</v>
      </c>
    </row>
    <row r="628" spans="1:36" s="8" customFormat="1" ht="48.75" customHeight="1">
      <c r="A628" s="430" t="s">
        <v>144</v>
      </c>
      <c r="B628" s="622" t="s">
        <v>774</v>
      </c>
      <c r="C628" s="798" t="s">
        <v>54</v>
      </c>
      <c r="D628" s="808">
        <v>7542809</v>
      </c>
      <c r="E628" s="808"/>
      <c r="F628" s="433" t="s">
        <v>775</v>
      </c>
      <c r="G628" s="13" t="s">
        <v>776</v>
      </c>
      <c r="H628" s="13" t="s">
        <v>73</v>
      </c>
      <c r="I628" s="690" t="s">
        <v>777</v>
      </c>
      <c r="J628" s="12">
        <v>93883</v>
      </c>
      <c r="K628" s="457"/>
      <c r="L628" s="12">
        <v>73500</v>
      </c>
      <c r="M628" s="691">
        <v>20383</v>
      </c>
      <c r="N628" s="12">
        <v>86640</v>
      </c>
      <c r="O628" s="12"/>
      <c r="P628" s="12">
        <v>73500</v>
      </c>
      <c r="Q628" s="44">
        <v>13140</v>
      </c>
      <c r="R628" s="12">
        <v>86640</v>
      </c>
      <c r="S628" s="12"/>
      <c r="T628" s="12">
        <v>73500</v>
      </c>
      <c r="U628" s="44">
        <v>13140</v>
      </c>
      <c r="V628" s="44">
        <v>7243</v>
      </c>
      <c r="W628" s="12">
        <f t="shared" ref="W628:W637" si="383">SUM(X628:AA628)</f>
        <v>7243</v>
      </c>
      <c r="X628" s="12">
        <v>7243</v>
      </c>
      <c r="Y628" s="12"/>
      <c r="Z628" s="12"/>
      <c r="AA628" s="12"/>
      <c r="AB628" s="91" t="s">
        <v>1622</v>
      </c>
      <c r="AC628" s="380">
        <f t="shared" si="372"/>
        <v>0</v>
      </c>
      <c r="AJ628" s="8" t="s">
        <v>685</v>
      </c>
    </row>
    <row r="629" spans="1:36" s="8" customFormat="1" ht="65.25" customHeight="1">
      <c r="A629" s="430" t="s">
        <v>144</v>
      </c>
      <c r="B629" s="622" t="s">
        <v>778</v>
      </c>
      <c r="C629" s="15" t="s">
        <v>54</v>
      </c>
      <c r="D629" s="433">
        <v>7863917</v>
      </c>
      <c r="E629" s="433"/>
      <c r="F629" s="433" t="s">
        <v>775</v>
      </c>
      <c r="G629" s="13" t="s">
        <v>779</v>
      </c>
      <c r="H629" s="13" t="s">
        <v>437</v>
      </c>
      <c r="I629" s="690" t="s">
        <v>780</v>
      </c>
      <c r="J629" s="12">
        <v>42000</v>
      </c>
      <c r="K629" s="457"/>
      <c r="L629" s="12"/>
      <c r="M629" s="12">
        <v>42000</v>
      </c>
      <c r="N629" s="12">
        <v>32800</v>
      </c>
      <c r="O629" s="12"/>
      <c r="P629" s="12"/>
      <c r="Q629" s="12">
        <v>32800</v>
      </c>
      <c r="R629" s="12">
        <v>32800</v>
      </c>
      <c r="S629" s="12"/>
      <c r="T629" s="12"/>
      <c r="U629" s="12">
        <v>32800</v>
      </c>
      <c r="V629" s="407">
        <v>5200</v>
      </c>
      <c r="W629" s="12">
        <f t="shared" si="383"/>
        <v>3000</v>
      </c>
      <c r="X629" s="12">
        <v>3000</v>
      </c>
      <c r="Y629" s="12"/>
      <c r="Z629" s="12"/>
      <c r="AA629" s="12"/>
      <c r="AB629" s="91" t="s">
        <v>1622</v>
      </c>
      <c r="AC629" s="380">
        <f t="shared" si="372"/>
        <v>0</v>
      </c>
      <c r="AJ629" s="8" t="s">
        <v>685</v>
      </c>
    </row>
    <row r="630" spans="1:36" s="8" customFormat="1" ht="57.75" customHeight="1">
      <c r="A630" s="430" t="s">
        <v>144</v>
      </c>
      <c r="B630" s="622" t="s">
        <v>784</v>
      </c>
      <c r="C630" s="15" t="s">
        <v>54</v>
      </c>
      <c r="D630" s="433">
        <v>7915021</v>
      </c>
      <c r="E630" s="433"/>
      <c r="F630" s="433" t="s">
        <v>771</v>
      </c>
      <c r="G630" s="13" t="s">
        <v>785</v>
      </c>
      <c r="H630" s="13" t="s">
        <v>73</v>
      </c>
      <c r="I630" s="690" t="s">
        <v>786</v>
      </c>
      <c r="J630" s="12">
        <v>12600</v>
      </c>
      <c r="K630" s="457"/>
      <c r="L630" s="12"/>
      <c r="M630" s="12">
        <v>12600</v>
      </c>
      <c r="N630" s="12">
        <v>10500</v>
      </c>
      <c r="O630" s="12"/>
      <c r="P630" s="12"/>
      <c r="Q630" s="12">
        <v>10500</v>
      </c>
      <c r="R630" s="12">
        <v>10500</v>
      </c>
      <c r="S630" s="12"/>
      <c r="T630" s="12"/>
      <c r="U630" s="12">
        <v>10500</v>
      </c>
      <c r="V630" s="407">
        <v>684.37</v>
      </c>
      <c r="W630" s="12">
        <f t="shared" si="383"/>
        <v>684.37</v>
      </c>
      <c r="X630" s="12">
        <v>684.37</v>
      </c>
      <c r="Y630" s="12"/>
      <c r="Z630" s="12"/>
      <c r="AA630" s="12"/>
      <c r="AB630" s="91" t="s">
        <v>1622</v>
      </c>
      <c r="AC630" s="380">
        <f t="shared" si="372"/>
        <v>0</v>
      </c>
      <c r="AJ630" s="8" t="s">
        <v>685</v>
      </c>
    </row>
    <row r="631" spans="1:36" s="8" customFormat="1" ht="53.25" customHeight="1">
      <c r="A631" s="430" t="s">
        <v>144</v>
      </c>
      <c r="B631" s="622" t="s">
        <v>787</v>
      </c>
      <c r="C631" s="15" t="s">
        <v>54</v>
      </c>
      <c r="D631" s="433" t="s">
        <v>788</v>
      </c>
      <c r="E631" s="433"/>
      <c r="F631" s="433" t="s">
        <v>771</v>
      </c>
      <c r="G631" s="13" t="s">
        <v>789</v>
      </c>
      <c r="H631" s="13" t="s">
        <v>1862</v>
      </c>
      <c r="I631" s="690" t="s">
        <v>791</v>
      </c>
      <c r="J631" s="12">
        <v>8500</v>
      </c>
      <c r="K631" s="457"/>
      <c r="L631" s="12"/>
      <c r="M631" s="12">
        <v>8500</v>
      </c>
      <c r="N631" s="12">
        <v>7500</v>
      </c>
      <c r="O631" s="12"/>
      <c r="P631" s="12"/>
      <c r="Q631" s="12">
        <v>7500</v>
      </c>
      <c r="R631" s="12">
        <v>7500</v>
      </c>
      <c r="S631" s="12"/>
      <c r="T631" s="12"/>
      <c r="U631" s="12">
        <v>7500</v>
      </c>
      <c r="V631" s="12">
        <v>727.68</v>
      </c>
      <c r="W631" s="12">
        <f t="shared" si="383"/>
        <v>727.68</v>
      </c>
      <c r="X631" s="12">
        <v>727.68</v>
      </c>
      <c r="Y631" s="12"/>
      <c r="Z631" s="12"/>
      <c r="AA631" s="12"/>
      <c r="AB631" s="91" t="s">
        <v>1622</v>
      </c>
      <c r="AC631" s="380">
        <f t="shared" si="372"/>
        <v>0</v>
      </c>
      <c r="AJ631" s="8" t="s">
        <v>685</v>
      </c>
    </row>
    <row r="632" spans="1:36" s="8" customFormat="1" ht="60.75" customHeight="1">
      <c r="A632" s="430" t="s">
        <v>144</v>
      </c>
      <c r="B632" s="622" t="s">
        <v>792</v>
      </c>
      <c r="C632" s="15" t="s">
        <v>54</v>
      </c>
      <c r="D632" s="433">
        <v>8065839</v>
      </c>
      <c r="E632" s="433"/>
      <c r="F632" s="433" t="s">
        <v>775</v>
      </c>
      <c r="G632" s="13" t="s">
        <v>793</v>
      </c>
      <c r="H632" s="13" t="s">
        <v>187</v>
      </c>
      <c r="I632" s="690" t="s">
        <v>794</v>
      </c>
      <c r="J632" s="12">
        <v>9000</v>
      </c>
      <c r="K632" s="457"/>
      <c r="L632" s="12"/>
      <c r="M632" s="12">
        <v>9000</v>
      </c>
      <c r="N632" s="12">
        <v>5519</v>
      </c>
      <c r="O632" s="12"/>
      <c r="P632" s="12"/>
      <c r="Q632" s="12">
        <v>5519</v>
      </c>
      <c r="R632" s="12">
        <v>5519</v>
      </c>
      <c r="S632" s="12"/>
      <c r="T632" s="12"/>
      <c r="U632" s="12">
        <v>5519</v>
      </c>
      <c r="V632" s="407">
        <v>3481</v>
      </c>
      <c r="W632" s="12">
        <f t="shared" si="383"/>
        <v>3300</v>
      </c>
      <c r="X632" s="12">
        <v>3300</v>
      </c>
      <c r="Y632" s="12"/>
      <c r="Z632" s="12"/>
      <c r="AA632" s="12"/>
      <c r="AB632" s="91" t="s">
        <v>1622</v>
      </c>
      <c r="AC632" s="380">
        <f t="shared" si="372"/>
        <v>0</v>
      </c>
      <c r="AJ632" s="8" t="s">
        <v>685</v>
      </c>
    </row>
    <row r="633" spans="1:36" s="8" customFormat="1" ht="56.25" customHeight="1">
      <c r="A633" s="430" t="s">
        <v>144</v>
      </c>
      <c r="B633" s="622" t="s">
        <v>795</v>
      </c>
      <c r="C633" s="15" t="s">
        <v>54</v>
      </c>
      <c r="D633" s="433">
        <v>8065840</v>
      </c>
      <c r="E633" s="433"/>
      <c r="F633" s="433" t="s">
        <v>775</v>
      </c>
      <c r="G633" s="13" t="s">
        <v>796</v>
      </c>
      <c r="H633" s="13" t="s">
        <v>187</v>
      </c>
      <c r="I633" s="690" t="s">
        <v>797</v>
      </c>
      <c r="J633" s="12">
        <v>5000</v>
      </c>
      <c r="K633" s="457"/>
      <c r="L633" s="12"/>
      <c r="M633" s="12">
        <v>5000</v>
      </c>
      <c r="N633" s="12">
        <v>3592</v>
      </c>
      <c r="O633" s="12"/>
      <c r="P633" s="12"/>
      <c r="Q633" s="12">
        <v>3592</v>
      </c>
      <c r="R633" s="12">
        <v>3590</v>
      </c>
      <c r="S633" s="12"/>
      <c r="T633" s="12"/>
      <c r="U633" s="12">
        <v>3590</v>
      </c>
      <c r="V633" s="407">
        <v>1410</v>
      </c>
      <c r="W633" s="12">
        <f t="shared" si="383"/>
        <v>1410</v>
      </c>
      <c r="X633" s="12">
        <v>1410</v>
      </c>
      <c r="Y633" s="12"/>
      <c r="Z633" s="12"/>
      <c r="AA633" s="12"/>
      <c r="AB633" s="91" t="s">
        <v>1622</v>
      </c>
      <c r="AC633" s="380">
        <f t="shared" si="372"/>
        <v>0</v>
      </c>
      <c r="AJ633" s="8" t="s">
        <v>685</v>
      </c>
    </row>
    <row r="634" spans="1:36" s="8" customFormat="1" ht="60.75" customHeight="1">
      <c r="A634" s="430" t="s">
        <v>144</v>
      </c>
      <c r="B634" s="622" t="s">
        <v>798</v>
      </c>
      <c r="C634" s="15" t="s">
        <v>54</v>
      </c>
      <c r="D634" s="433">
        <v>8116282</v>
      </c>
      <c r="E634" s="433"/>
      <c r="F634" s="433" t="s">
        <v>771</v>
      </c>
      <c r="G634" s="13" t="s">
        <v>799</v>
      </c>
      <c r="H634" s="13" t="s">
        <v>207</v>
      </c>
      <c r="I634" s="690" t="s">
        <v>800</v>
      </c>
      <c r="J634" s="12">
        <v>4500</v>
      </c>
      <c r="K634" s="457"/>
      <c r="L634" s="12"/>
      <c r="M634" s="12">
        <v>4500</v>
      </c>
      <c r="N634" s="12">
        <v>4000</v>
      </c>
      <c r="O634" s="12"/>
      <c r="P634" s="12"/>
      <c r="Q634" s="12">
        <v>4000</v>
      </c>
      <c r="R634" s="12">
        <v>4000</v>
      </c>
      <c r="S634" s="12"/>
      <c r="T634" s="12"/>
      <c r="U634" s="12">
        <v>4000</v>
      </c>
      <c r="V634" s="407">
        <v>500</v>
      </c>
      <c r="W634" s="12">
        <f t="shared" si="383"/>
        <v>500</v>
      </c>
      <c r="X634" s="12">
        <v>500</v>
      </c>
      <c r="Y634" s="12"/>
      <c r="Z634" s="12"/>
      <c r="AA634" s="12"/>
      <c r="AB634" s="91" t="s">
        <v>1622</v>
      </c>
      <c r="AC634" s="380">
        <f t="shared" si="372"/>
        <v>0</v>
      </c>
      <c r="AJ634" s="8" t="s">
        <v>685</v>
      </c>
    </row>
    <row r="635" spans="1:36" s="8" customFormat="1" ht="57.75" customHeight="1">
      <c r="A635" s="430" t="s">
        <v>144</v>
      </c>
      <c r="B635" s="622" t="s">
        <v>801</v>
      </c>
      <c r="C635" s="15" t="s">
        <v>54</v>
      </c>
      <c r="D635" s="615">
        <v>8150902</v>
      </c>
      <c r="E635" s="433"/>
      <c r="F635" s="433" t="s">
        <v>86</v>
      </c>
      <c r="G635" s="13" t="s">
        <v>802</v>
      </c>
      <c r="H635" s="13" t="s">
        <v>207</v>
      </c>
      <c r="I635" s="690" t="s">
        <v>803</v>
      </c>
      <c r="J635" s="12">
        <v>2500</v>
      </c>
      <c r="K635" s="457"/>
      <c r="L635" s="12"/>
      <c r="M635" s="12">
        <v>2500</v>
      </c>
      <c r="N635" s="12">
        <v>2000</v>
      </c>
      <c r="O635" s="12"/>
      <c r="P635" s="12"/>
      <c r="Q635" s="12">
        <v>2000</v>
      </c>
      <c r="R635" s="12">
        <v>2000</v>
      </c>
      <c r="S635" s="12"/>
      <c r="T635" s="12"/>
      <c r="U635" s="12">
        <v>2000</v>
      </c>
      <c r="V635" s="407">
        <v>500</v>
      </c>
      <c r="W635" s="12">
        <f t="shared" si="383"/>
        <v>500</v>
      </c>
      <c r="X635" s="12">
        <v>500</v>
      </c>
      <c r="Y635" s="12"/>
      <c r="Z635" s="12"/>
      <c r="AA635" s="12"/>
      <c r="AB635" s="91" t="s">
        <v>1622</v>
      </c>
      <c r="AC635" s="380">
        <f t="shared" si="372"/>
        <v>0</v>
      </c>
      <c r="AJ635" s="8" t="s">
        <v>685</v>
      </c>
    </row>
    <row r="636" spans="1:36" s="8" customFormat="1" ht="53.25" customHeight="1">
      <c r="A636" s="430" t="s">
        <v>144</v>
      </c>
      <c r="B636" s="622" t="s">
        <v>804</v>
      </c>
      <c r="C636" s="15" t="s">
        <v>54</v>
      </c>
      <c r="D636" s="433" t="s">
        <v>805</v>
      </c>
      <c r="E636" s="433"/>
      <c r="F636" s="433" t="s">
        <v>86</v>
      </c>
      <c r="G636" s="13" t="s">
        <v>806</v>
      </c>
      <c r="H636" s="13" t="s">
        <v>207</v>
      </c>
      <c r="I636" s="690" t="s">
        <v>807</v>
      </c>
      <c r="J636" s="12">
        <v>2500</v>
      </c>
      <c r="K636" s="457"/>
      <c r="L636" s="12"/>
      <c r="M636" s="12">
        <v>2500</v>
      </c>
      <c r="N636" s="12">
        <v>2000</v>
      </c>
      <c r="O636" s="12"/>
      <c r="P636" s="12"/>
      <c r="Q636" s="12">
        <v>2000</v>
      </c>
      <c r="R636" s="12">
        <v>2000</v>
      </c>
      <c r="S636" s="12"/>
      <c r="T636" s="12"/>
      <c r="U636" s="12">
        <v>2000</v>
      </c>
      <c r="V636" s="407">
        <v>500</v>
      </c>
      <c r="W636" s="12">
        <f t="shared" si="383"/>
        <v>500</v>
      </c>
      <c r="X636" s="12">
        <v>500</v>
      </c>
      <c r="Y636" s="12"/>
      <c r="Z636" s="12"/>
      <c r="AA636" s="12"/>
      <c r="AB636" s="91" t="s">
        <v>1622</v>
      </c>
      <c r="AC636" s="380">
        <f t="shared" si="372"/>
        <v>0</v>
      </c>
      <c r="AJ636" s="8" t="s">
        <v>685</v>
      </c>
    </row>
    <row r="637" spans="1:36" s="8" customFormat="1" ht="57.75" customHeight="1">
      <c r="A637" s="430" t="s">
        <v>144</v>
      </c>
      <c r="B637" s="622" t="s">
        <v>808</v>
      </c>
      <c r="C637" s="15" t="s">
        <v>54</v>
      </c>
      <c r="D637" s="433">
        <v>8116961</v>
      </c>
      <c r="E637" s="433"/>
      <c r="F637" s="433" t="s">
        <v>809</v>
      </c>
      <c r="G637" s="13" t="s">
        <v>810</v>
      </c>
      <c r="H637" s="13" t="s">
        <v>207</v>
      </c>
      <c r="I637" s="690" t="s">
        <v>811</v>
      </c>
      <c r="J637" s="12">
        <v>3500</v>
      </c>
      <c r="K637" s="457"/>
      <c r="L637" s="12"/>
      <c r="M637" s="12">
        <v>3500</v>
      </c>
      <c r="N637" s="12">
        <v>2500</v>
      </c>
      <c r="O637" s="12"/>
      <c r="P637" s="12"/>
      <c r="Q637" s="12">
        <v>2500</v>
      </c>
      <c r="R637" s="12">
        <v>2500</v>
      </c>
      <c r="S637" s="12"/>
      <c r="T637" s="12"/>
      <c r="U637" s="12">
        <v>2500</v>
      </c>
      <c r="V637" s="407">
        <v>1000</v>
      </c>
      <c r="W637" s="12">
        <f t="shared" si="383"/>
        <v>1000</v>
      </c>
      <c r="X637" s="12">
        <v>1000</v>
      </c>
      <c r="Y637" s="12"/>
      <c r="Z637" s="12"/>
      <c r="AA637" s="12"/>
      <c r="AB637" s="91" t="s">
        <v>1622</v>
      </c>
      <c r="AC637" s="380">
        <f t="shared" si="372"/>
        <v>0</v>
      </c>
      <c r="AJ637" s="8" t="s">
        <v>685</v>
      </c>
    </row>
    <row r="638" spans="1:36" s="10" customFormat="1" ht="24" customHeight="1">
      <c r="A638" s="398" t="s">
        <v>1306</v>
      </c>
      <c r="B638" s="413" t="s">
        <v>1307</v>
      </c>
      <c r="C638" s="15" t="s">
        <v>54</v>
      </c>
      <c r="D638" s="423"/>
      <c r="E638" s="328"/>
      <c r="F638" s="328"/>
      <c r="G638" s="328"/>
      <c r="H638" s="328"/>
      <c r="I638" s="328"/>
      <c r="J638" s="436"/>
      <c r="K638" s="436"/>
      <c r="L638" s="436"/>
      <c r="M638" s="436"/>
      <c r="N638" s="436"/>
      <c r="O638" s="436"/>
      <c r="P638" s="436"/>
      <c r="Q638" s="436"/>
      <c r="R638" s="436"/>
      <c r="S638" s="436"/>
      <c r="T638" s="436"/>
      <c r="U638" s="436"/>
      <c r="V638" s="436"/>
      <c r="W638" s="436"/>
      <c r="X638" s="436"/>
      <c r="Y638" s="436"/>
      <c r="Z638" s="436"/>
      <c r="AA638" s="436"/>
      <c r="AB638" s="437"/>
      <c r="AC638" s="380">
        <f t="shared" si="372"/>
        <v>0</v>
      </c>
    </row>
    <row r="639" spans="1:36" s="8" customFormat="1" ht="43.5" customHeight="1">
      <c r="A639" s="474">
        <v>6</v>
      </c>
      <c r="B639" s="317" t="s">
        <v>89</v>
      </c>
      <c r="C639" s="317" t="s">
        <v>89</v>
      </c>
      <c r="D639" s="317"/>
      <c r="E639" s="317"/>
      <c r="F639" s="37"/>
      <c r="G639" s="123"/>
      <c r="H639" s="320"/>
      <c r="I639" s="320"/>
      <c r="J639" s="14">
        <f t="shared" ref="J639:AA639" si="384">J640</f>
        <v>637301</v>
      </c>
      <c r="K639" s="14">
        <f t="shared" si="384"/>
        <v>0</v>
      </c>
      <c r="L639" s="14">
        <f t="shared" si="384"/>
        <v>237798</v>
      </c>
      <c r="M639" s="14">
        <f t="shared" si="384"/>
        <v>399503</v>
      </c>
      <c r="N639" s="14">
        <f t="shared" si="384"/>
        <v>449434.51800000004</v>
      </c>
      <c r="O639" s="14">
        <f t="shared" si="384"/>
        <v>0</v>
      </c>
      <c r="P639" s="14">
        <f t="shared" si="384"/>
        <v>237069.122</v>
      </c>
      <c r="Q639" s="14">
        <f t="shared" si="384"/>
        <v>211265.39600000001</v>
      </c>
      <c r="R639" s="14">
        <f t="shared" si="384"/>
        <v>461780.12199999997</v>
      </c>
      <c r="S639" s="14">
        <f t="shared" si="384"/>
        <v>0</v>
      </c>
      <c r="T639" s="14">
        <f t="shared" si="384"/>
        <v>232972.122</v>
      </c>
      <c r="U639" s="14">
        <f t="shared" si="384"/>
        <v>228808</v>
      </c>
      <c r="V639" s="14">
        <f t="shared" si="384"/>
        <v>175670.39600000001</v>
      </c>
      <c r="W639" s="14">
        <f t="shared" si="384"/>
        <v>173170.39600000001</v>
      </c>
      <c r="X639" s="14">
        <f t="shared" si="384"/>
        <v>143313.39600000001</v>
      </c>
      <c r="Y639" s="14">
        <f t="shared" si="384"/>
        <v>29857</v>
      </c>
      <c r="Z639" s="14">
        <f t="shared" si="384"/>
        <v>0</v>
      </c>
      <c r="AA639" s="14">
        <f t="shared" si="384"/>
        <v>0</v>
      </c>
      <c r="AB639" s="102"/>
      <c r="AC639" s="380">
        <f t="shared" si="372"/>
        <v>0</v>
      </c>
    </row>
    <row r="640" spans="1:36" s="10" customFormat="1" ht="36.75" customHeight="1">
      <c r="A640" s="393" t="s">
        <v>1311</v>
      </c>
      <c r="B640" s="394" t="s">
        <v>38</v>
      </c>
      <c r="C640" s="15" t="s">
        <v>89</v>
      </c>
      <c r="D640" s="394"/>
      <c r="E640" s="394"/>
      <c r="F640" s="421"/>
      <c r="G640" s="421"/>
      <c r="H640" s="421"/>
      <c r="I640" s="421"/>
      <c r="J640" s="453">
        <f t="shared" ref="J640:AA640" si="385">J644+J641+J653</f>
        <v>637301</v>
      </c>
      <c r="K640" s="453">
        <f t="shared" si="385"/>
        <v>0</v>
      </c>
      <c r="L640" s="453">
        <f t="shared" si="385"/>
        <v>237798</v>
      </c>
      <c r="M640" s="453">
        <f t="shared" si="385"/>
        <v>399503</v>
      </c>
      <c r="N640" s="453">
        <f t="shared" si="385"/>
        <v>449434.51800000004</v>
      </c>
      <c r="O640" s="453">
        <f t="shared" si="385"/>
        <v>0</v>
      </c>
      <c r="P640" s="453">
        <f t="shared" si="385"/>
        <v>237069.122</v>
      </c>
      <c r="Q640" s="453">
        <f t="shared" si="385"/>
        <v>211265.39600000001</v>
      </c>
      <c r="R640" s="453">
        <f t="shared" si="385"/>
        <v>461780.12199999997</v>
      </c>
      <c r="S640" s="453">
        <f t="shared" si="385"/>
        <v>0</v>
      </c>
      <c r="T640" s="453">
        <f t="shared" si="385"/>
        <v>232972.122</v>
      </c>
      <c r="U640" s="453">
        <f t="shared" si="385"/>
        <v>228808</v>
      </c>
      <c r="V640" s="453">
        <f t="shared" si="385"/>
        <v>175670.39600000001</v>
      </c>
      <c r="W640" s="453">
        <f t="shared" si="385"/>
        <v>173170.39600000001</v>
      </c>
      <c r="X640" s="453">
        <f t="shared" si="385"/>
        <v>143313.39600000001</v>
      </c>
      <c r="Y640" s="453">
        <f t="shared" si="385"/>
        <v>29857</v>
      </c>
      <c r="Z640" s="453">
        <f t="shared" si="385"/>
        <v>0</v>
      </c>
      <c r="AA640" s="453">
        <f t="shared" si="385"/>
        <v>0</v>
      </c>
      <c r="AB640" s="454"/>
      <c r="AC640" s="380">
        <f t="shared" si="372"/>
        <v>0</v>
      </c>
    </row>
    <row r="641" spans="1:36" s="10" customFormat="1" ht="39.75" customHeight="1">
      <c r="A641" s="332" t="s">
        <v>39</v>
      </c>
      <c r="B641" s="326" t="s">
        <v>1254</v>
      </c>
      <c r="C641" s="15" t="s">
        <v>89</v>
      </c>
      <c r="D641" s="554"/>
      <c r="E641" s="332"/>
      <c r="F641" s="471"/>
      <c r="G641" s="471"/>
      <c r="H641" s="332"/>
      <c r="I641" s="471"/>
      <c r="J641" s="331">
        <f>+J642+J643</f>
        <v>119649</v>
      </c>
      <c r="K641" s="331">
        <f t="shared" ref="K641:AA641" si="386">+K642+K643</f>
        <v>0</v>
      </c>
      <c r="L641" s="331">
        <f t="shared" si="386"/>
        <v>117798</v>
      </c>
      <c r="M641" s="331">
        <f t="shared" si="386"/>
        <v>1851</v>
      </c>
      <c r="N641" s="331">
        <f t="shared" si="386"/>
        <v>118920.122</v>
      </c>
      <c r="O641" s="331">
        <f t="shared" si="386"/>
        <v>0</v>
      </c>
      <c r="P641" s="331">
        <f t="shared" si="386"/>
        <v>117069.122</v>
      </c>
      <c r="Q641" s="331">
        <f t="shared" si="386"/>
        <v>751</v>
      </c>
      <c r="R641" s="331">
        <f t="shared" si="386"/>
        <v>113723.122</v>
      </c>
      <c r="S641" s="331">
        <f t="shared" si="386"/>
        <v>0</v>
      </c>
      <c r="T641" s="331">
        <f t="shared" si="386"/>
        <v>112972.122</v>
      </c>
      <c r="U641" s="331">
        <f t="shared" si="386"/>
        <v>751</v>
      </c>
      <c r="V641" s="331">
        <f t="shared" si="386"/>
        <v>5197</v>
      </c>
      <c r="W641" s="331">
        <f>+W642+W643</f>
        <v>5197</v>
      </c>
      <c r="X641" s="331">
        <f t="shared" si="386"/>
        <v>5197</v>
      </c>
      <c r="Y641" s="331">
        <f t="shared" si="386"/>
        <v>0</v>
      </c>
      <c r="Z641" s="331">
        <f t="shared" si="386"/>
        <v>0</v>
      </c>
      <c r="AA641" s="331">
        <f t="shared" si="386"/>
        <v>0</v>
      </c>
      <c r="AB641" s="332"/>
      <c r="AC641" s="380">
        <f t="shared" si="372"/>
        <v>0</v>
      </c>
    </row>
    <row r="642" spans="1:36" s="8" customFormat="1" ht="54" customHeight="1">
      <c r="A642" s="430" t="s">
        <v>144</v>
      </c>
      <c r="B642" s="692" t="s">
        <v>816</v>
      </c>
      <c r="C642" s="15" t="s">
        <v>89</v>
      </c>
      <c r="D642" s="20">
        <v>7435389</v>
      </c>
      <c r="E642" s="20"/>
      <c r="F642" s="20" t="s">
        <v>92</v>
      </c>
      <c r="G642" s="13" t="s">
        <v>817</v>
      </c>
      <c r="H642" s="20" t="s">
        <v>818</v>
      </c>
      <c r="I642" s="20" t="s">
        <v>819</v>
      </c>
      <c r="J642" s="12">
        <v>83600</v>
      </c>
      <c r="K642" s="12"/>
      <c r="L642" s="12">
        <v>82500</v>
      </c>
      <c r="M642" s="12">
        <f>J642-L642</f>
        <v>1100</v>
      </c>
      <c r="N642" s="12">
        <v>83600</v>
      </c>
      <c r="O642" s="12"/>
      <c r="P642" s="12">
        <v>82500</v>
      </c>
      <c r="Q642" s="12">
        <v>0</v>
      </c>
      <c r="R642" s="12">
        <v>79510</v>
      </c>
      <c r="S642" s="12"/>
      <c r="T642" s="12">
        <v>79510</v>
      </c>
      <c r="U642" s="12"/>
      <c r="V642" s="407">
        <v>4090</v>
      </c>
      <c r="W642" s="12">
        <f>SUM(X642:AA642)</f>
        <v>4090</v>
      </c>
      <c r="X642" s="12">
        <v>4090</v>
      </c>
      <c r="Y642" s="12"/>
      <c r="Z642" s="12"/>
      <c r="AA642" s="12"/>
      <c r="AB642" s="557" t="s">
        <v>1308</v>
      </c>
      <c r="AC642" s="380">
        <f t="shared" si="372"/>
        <v>0</v>
      </c>
      <c r="AJ642" s="555" t="s">
        <v>1308</v>
      </c>
    </row>
    <row r="643" spans="1:36" s="8" customFormat="1" ht="74.25" customHeight="1">
      <c r="A643" s="430" t="s">
        <v>144</v>
      </c>
      <c r="B643" s="692" t="s">
        <v>820</v>
      </c>
      <c r="C643" s="15" t="s">
        <v>89</v>
      </c>
      <c r="D643" s="20">
        <v>7374405</v>
      </c>
      <c r="E643" s="20"/>
      <c r="F643" s="20" t="s">
        <v>821</v>
      </c>
      <c r="G643" s="13" t="s">
        <v>822</v>
      </c>
      <c r="H643" s="20" t="s">
        <v>823</v>
      </c>
      <c r="I643" s="20" t="s">
        <v>824</v>
      </c>
      <c r="J643" s="12">
        <v>36049</v>
      </c>
      <c r="K643" s="12"/>
      <c r="L643" s="12">
        <v>35298</v>
      </c>
      <c r="M643" s="12">
        <f>J643-L643</f>
        <v>751</v>
      </c>
      <c r="N643" s="12">
        <v>35320.122000000003</v>
      </c>
      <c r="O643" s="12"/>
      <c r="P643" s="12">
        <v>34569.122000000003</v>
      </c>
      <c r="Q643" s="12">
        <v>751</v>
      </c>
      <c r="R643" s="12">
        <v>34213.122000000003</v>
      </c>
      <c r="S643" s="12"/>
      <c r="T643" s="12">
        <v>33462.122000000003</v>
      </c>
      <c r="U643" s="12">
        <v>751</v>
      </c>
      <c r="V643" s="407">
        <v>1107</v>
      </c>
      <c r="W643" s="12">
        <f>SUM(X643:AA643)</f>
        <v>1107</v>
      </c>
      <c r="X643" s="12">
        <v>1107</v>
      </c>
      <c r="Y643" s="12"/>
      <c r="Z643" s="12"/>
      <c r="AA643" s="12"/>
      <c r="AB643" s="557" t="s">
        <v>1308</v>
      </c>
      <c r="AC643" s="380">
        <f t="shared" si="372"/>
        <v>0</v>
      </c>
      <c r="AJ643" s="555" t="s">
        <v>1308</v>
      </c>
    </row>
    <row r="644" spans="1:36" s="10" customFormat="1" ht="45">
      <c r="A644" s="397" t="s">
        <v>467</v>
      </c>
      <c r="B644" s="477" t="s">
        <v>56</v>
      </c>
      <c r="C644" s="15" t="s">
        <v>89</v>
      </c>
      <c r="D644" s="477"/>
      <c r="E644" s="477"/>
      <c r="F644" s="614"/>
      <c r="G644" s="328"/>
      <c r="H644" s="328"/>
      <c r="I644" s="328"/>
      <c r="J644" s="436">
        <f t="shared" ref="J644:AA644" si="387">SUM(J645:J652)</f>
        <v>517652</v>
      </c>
      <c r="K644" s="436">
        <f t="shared" si="387"/>
        <v>0</v>
      </c>
      <c r="L644" s="436">
        <f t="shared" si="387"/>
        <v>120000</v>
      </c>
      <c r="M644" s="436">
        <f t="shared" si="387"/>
        <v>397652</v>
      </c>
      <c r="N644" s="436">
        <f t="shared" si="387"/>
        <v>330514.39600000001</v>
      </c>
      <c r="O644" s="436">
        <f t="shared" si="387"/>
        <v>0</v>
      </c>
      <c r="P644" s="436">
        <f t="shared" si="387"/>
        <v>120000</v>
      </c>
      <c r="Q644" s="436">
        <f t="shared" si="387"/>
        <v>210514.39600000001</v>
      </c>
      <c r="R644" s="436">
        <f t="shared" si="387"/>
        <v>348057</v>
      </c>
      <c r="S644" s="436">
        <f t="shared" si="387"/>
        <v>0</v>
      </c>
      <c r="T644" s="436">
        <f t="shared" si="387"/>
        <v>120000</v>
      </c>
      <c r="U644" s="436">
        <f t="shared" si="387"/>
        <v>228057</v>
      </c>
      <c r="V644" s="436">
        <f t="shared" si="387"/>
        <v>170473.39600000001</v>
      </c>
      <c r="W644" s="436">
        <f t="shared" si="387"/>
        <v>167973.39600000001</v>
      </c>
      <c r="X644" s="436">
        <f t="shared" si="387"/>
        <v>138116.39600000001</v>
      </c>
      <c r="Y644" s="436">
        <f t="shared" si="387"/>
        <v>29857</v>
      </c>
      <c r="Z644" s="436">
        <f t="shared" si="387"/>
        <v>0</v>
      </c>
      <c r="AA644" s="436">
        <f t="shared" si="387"/>
        <v>0</v>
      </c>
      <c r="AB644" s="437"/>
      <c r="AC644" s="380">
        <f t="shared" si="372"/>
        <v>0</v>
      </c>
    </row>
    <row r="645" spans="1:36" s="8" customFormat="1" ht="92.25" customHeight="1">
      <c r="A645" s="430" t="s">
        <v>144</v>
      </c>
      <c r="B645" s="692" t="s">
        <v>812</v>
      </c>
      <c r="C645" s="15" t="s">
        <v>89</v>
      </c>
      <c r="D645" s="20" t="s">
        <v>813</v>
      </c>
      <c r="E645" s="20"/>
      <c r="F645" s="20" t="s">
        <v>92</v>
      </c>
      <c r="G645" s="13" t="s">
        <v>814</v>
      </c>
      <c r="H645" s="20" t="s">
        <v>440</v>
      </c>
      <c r="I645" s="20" t="s">
        <v>815</v>
      </c>
      <c r="J645" s="12">
        <v>294000</v>
      </c>
      <c r="K645" s="12"/>
      <c r="L645" s="12">
        <v>120000</v>
      </c>
      <c r="M645" s="12">
        <v>174000</v>
      </c>
      <c r="N645" s="12">
        <v>202000</v>
      </c>
      <c r="O645" s="12"/>
      <c r="P645" s="12">
        <v>120000</v>
      </c>
      <c r="Q645" s="12">
        <v>82000</v>
      </c>
      <c r="R645" s="12">
        <v>202000</v>
      </c>
      <c r="S645" s="12"/>
      <c r="T645" s="12">
        <v>120000</v>
      </c>
      <c r="U645" s="12">
        <v>82000</v>
      </c>
      <c r="V645" s="12">
        <v>92000</v>
      </c>
      <c r="W645" s="693">
        <f t="shared" ref="W645:W652" si="388">SUM(X645:AA645)</f>
        <v>92000</v>
      </c>
      <c r="X645" s="12">
        <v>92000</v>
      </c>
      <c r="Y645" s="12"/>
      <c r="Z645" s="12"/>
      <c r="AA645" s="12"/>
      <c r="AB645" s="557" t="s">
        <v>1647</v>
      </c>
      <c r="AC645" s="380">
        <f t="shared" si="372"/>
        <v>0</v>
      </c>
      <c r="AJ645" s="8" t="s">
        <v>685</v>
      </c>
    </row>
    <row r="646" spans="1:36" s="8" customFormat="1" ht="92.25" customHeight="1">
      <c r="A646" s="430" t="s">
        <v>144</v>
      </c>
      <c r="B646" s="692" t="s">
        <v>825</v>
      </c>
      <c r="C646" s="15" t="s">
        <v>89</v>
      </c>
      <c r="D646" s="20">
        <v>8017159</v>
      </c>
      <c r="E646" s="20"/>
      <c r="F646" s="20" t="s">
        <v>821</v>
      </c>
      <c r="G646" s="13" t="s">
        <v>826</v>
      </c>
      <c r="H646" s="20" t="s">
        <v>41</v>
      </c>
      <c r="I646" s="20" t="s">
        <v>827</v>
      </c>
      <c r="J646" s="12">
        <v>12000</v>
      </c>
      <c r="K646" s="12"/>
      <c r="L646" s="12"/>
      <c r="M646" s="12">
        <v>12000</v>
      </c>
      <c r="N646" s="12">
        <v>11347.396000000001</v>
      </c>
      <c r="O646" s="12"/>
      <c r="P646" s="12"/>
      <c r="Q646" s="12">
        <v>11347.396000000001</v>
      </c>
      <c r="R646" s="12">
        <v>11220</v>
      </c>
      <c r="S646" s="12"/>
      <c r="T646" s="12"/>
      <c r="U646" s="12">
        <v>11220</v>
      </c>
      <c r="V646" s="407">
        <v>127.396</v>
      </c>
      <c r="W646" s="693">
        <f t="shared" si="388"/>
        <v>127.396</v>
      </c>
      <c r="X646" s="12">
        <v>127.396</v>
      </c>
      <c r="Y646" s="12"/>
      <c r="Z646" s="12"/>
      <c r="AA646" s="12"/>
      <c r="AB646" s="557" t="s">
        <v>1622</v>
      </c>
      <c r="AC646" s="380">
        <f t="shared" si="372"/>
        <v>0</v>
      </c>
      <c r="AJ646" s="8" t="s">
        <v>685</v>
      </c>
    </row>
    <row r="647" spans="1:36" s="8" customFormat="1" ht="92.25" customHeight="1">
      <c r="A647" s="430" t="s">
        <v>144</v>
      </c>
      <c r="B647" s="692" t="s">
        <v>828</v>
      </c>
      <c r="C647" s="15" t="s">
        <v>89</v>
      </c>
      <c r="D647" s="20">
        <v>7865033</v>
      </c>
      <c r="E647" s="20"/>
      <c r="F647" s="20" t="s">
        <v>821</v>
      </c>
      <c r="G647" s="13" t="s">
        <v>826</v>
      </c>
      <c r="H647" s="20" t="s">
        <v>73</v>
      </c>
      <c r="I647" s="20" t="s">
        <v>829</v>
      </c>
      <c r="J647" s="12">
        <v>70000</v>
      </c>
      <c r="K647" s="12"/>
      <c r="L647" s="12"/>
      <c r="M647" s="12">
        <v>70000</v>
      </c>
      <c r="N647" s="12">
        <v>32369</v>
      </c>
      <c r="O647" s="12"/>
      <c r="P647" s="12"/>
      <c r="Q647" s="12">
        <v>32369</v>
      </c>
      <c r="R647" s="12">
        <v>32369</v>
      </c>
      <c r="S647" s="12"/>
      <c r="T647" s="12"/>
      <c r="U647" s="12">
        <v>32369</v>
      </c>
      <c r="V647" s="407">
        <v>37631</v>
      </c>
      <c r="W647" s="693">
        <f t="shared" si="388"/>
        <v>37631</v>
      </c>
      <c r="X647" s="12">
        <v>37631</v>
      </c>
      <c r="Y647" s="12"/>
      <c r="Z647" s="12"/>
      <c r="AA647" s="12"/>
      <c r="AB647" s="557" t="s">
        <v>1622</v>
      </c>
      <c r="AC647" s="380">
        <f t="shared" si="372"/>
        <v>0</v>
      </c>
      <c r="AJ647" s="8" t="s">
        <v>685</v>
      </c>
    </row>
    <row r="648" spans="1:36" s="8" customFormat="1" ht="92.25" customHeight="1">
      <c r="A648" s="430" t="s">
        <v>144</v>
      </c>
      <c r="B648" s="692" t="s">
        <v>830</v>
      </c>
      <c r="C648" s="15" t="s">
        <v>89</v>
      </c>
      <c r="D648" s="20">
        <v>7926038</v>
      </c>
      <c r="E648" s="20"/>
      <c r="F648" s="20" t="s">
        <v>831</v>
      </c>
      <c r="G648" s="13" t="s">
        <v>814</v>
      </c>
      <c r="H648" s="20" t="s">
        <v>44</v>
      </c>
      <c r="I648" s="20" t="s">
        <v>832</v>
      </c>
      <c r="J648" s="12">
        <v>35000</v>
      </c>
      <c r="K648" s="12"/>
      <c r="L648" s="12"/>
      <c r="M648" s="12">
        <v>35000</v>
      </c>
      <c r="N648" s="12">
        <v>23322</v>
      </c>
      <c r="O648" s="12"/>
      <c r="P648" s="12"/>
      <c r="Q648" s="12">
        <v>23322</v>
      </c>
      <c r="R648" s="12">
        <v>26642</v>
      </c>
      <c r="S648" s="12"/>
      <c r="T648" s="12"/>
      <c r="U648" s="12">
        <v>26642</v>
      </c>
      <c r="V648" s="407">
        <v>8358</v>
      </c>
      <c r="W648" s="693">
        <f t="shared" si="388"/>
        <v>8358</v>
      </c>
      <c r="X648" s="12">
        <v>8358</v>
      </c>
      <c r="Y648" s="12"/>
      <c r="Z648" s="12"/>
      <c r="AA648" s="12"/>
      <c r="AB648" s="557" t="s">
        <v>1622</v>
      </c>
      <c r="AC648" s="380">
        <f t="shared" si="372"/>
        <v>0</v>
      </c>
      <c r="AJ648" s="8" t="s">
        <v>685</v>
      </c>
    </row>
    <row r="649" spans="1:36" s="8" customFormat="1" ht="96.75" customHeight="1">
      <c r="A649" s="430" t="s">
        <v>144</v>
      </c>
      <c r="B649" s="692" t="s">
        <v>835</v>
      </c>
      <c r="C649" s="15" t="s">
        <v>89</v>
      </c>
      <c r="D649" s="20">
        <v>7939192</v>
      </c>
      <c r="E649" s="20"/>
      <c r="F649" s="20" t="s">
        <v>833</v>
      </c>
      <c r="G649" s="13" t="s">
        <v>814</v>
      </c>
      <c r="H649" s="20" t="s">
        <v>370</v>
      </c>
      <c r="I649" s="20" t="s">
        <v>836</v>
      </c>
      <c r="J649" s="12">
        <v>57000</v>
      </c>
      <c r="K649" s="12"/>
      <c r="L649" s="12"/>
      <c r="M649" s="12">
        <v>57000</v>
      </c>
      <c r="N649" s="12">
        <v>49300</v>
      </c>
      <c r="O649" s="12"/>
      <c r="P649" s="12"/>
      <c r="Q649" s="12">
        <v>49300</v>
      </c>
      <c r="R649" s="12">
        <v>49300</v>
      </c>
      <c r="S649" s="12"/>
      <c r="T649" s="12"/>
      <c r="U649" s="12">
        <v>49300</v>
      </c>
      <c r="V649" s="407">
        <v>7700</v>
      </c>
      <c r="W649" s="693">
        <f t="shared" si="388"/>
        <v>7700</v>
      </c>
      <c r="X649" s="12"/>
      <c r="Y649" s="12">
        <v>7700</v>
      </c>
      <c r="Z649" s="12"/>
      <c r="AA649" s="12"/>
      <c r="AB649" s="557" t="s">
        <v>1622</v>
      </c>
      <c r="AC649" s="380">
        <f t="shared" si="372"/>
        <v>0</v>
      </c>
      <c r="AJ649" s="8" t="s">
        <v>685</v>
      </c>
    </row>
    <row r="650" spans="1:36" s="8" customFormat="1" ht="96.75" customHeight="1">
      <c r="A650" s="430" t="s">
        <v>144</v>
      </c>
      <c r="B650" s="692" t="s">
        <v>837</v>
      </c>
      <c r="C650" s="15" t="s">
        <v>89</v>
      </c>
      <c r="D650" s="20">
        <v>7806148</v>
      </c>
      <c r="E650" s="20"/>
      <c r="F650" s="20" t="s">
        <v>92</v>
      </c>
      <c r="G650" s="13" t="s">
        <v>826</v>
      </c>
      <c r="H650" s="20" t="s">
        <v>73</v>
      </c>
      <c r="I650" s="20" t="s">
        <v>838</v>
      </c>
      <c r="J650" s="12">
        <v>22500</v>
      </c>
      <c r="K650" s="12"/>
      <c r="L650" s="12"/>
      <c r="M650" s="12">
        <v>22500</v>
      </c>
      <c r="N650" s="12">
        <v>1531</v>
      </c>
      <c r="O650" s="12"/>
      <c r="P650" s="12"/>
      <c r="Q650" s="12">
        <v>1531</v>
      </c>
      <c r="R650" s="12">
        <v>11531</v>
      </c>
      <c r="S650" s="12"/>
      <c r="T650" s="12"/>
      <c r="U650" s="12">
        <v>11531</v>
      </c>
      <c r="V650" s="407">
        <v>12500</v>
      </c>
      <c r="W650" s="693">
        <f t="shared" si="388"/>
        <v>10000</v>
      </c>
      <c r="X650" s="12"/>
      <c r="Y650" s="12">
        <v>10000</v>
      </c>
      <c r="Z650" s="12"/>
      <c r="AA650" s="12"/>
      <c r="AB650" s="557" t="s">
        <v>1622</v>
      </c>
      <c r="AC650" s="380">
        <f t="shared" si="372"/>
        <v>0</v>
      </c>
      <c r="AJ650" s="8" t="s">
        <v>685</v>
      </c>
    </row>
    <row r="651" spans="1:36" s="8" customFormat="1" ht="96.75" customHeight="1">
      <c r="A651" s="430" t="s">
        <v>144</v>
      </c>
      <c r="B651" s="692" t="s">
        <v>839</v>
      </c>
      <c r="C651" s="15" t="s">
        <v>89</v>
      </c>
      <c r="D651" s="20">
        <v>8114528</v>
      </c>
      <c r="E651" s="20"/>
      <c r="F651" s="20" t="s">
        <v>840</v>
      </c>
      <c r="G651" s="13" t="s">
        <v>841</v>
      </c>
      <c r="H651" s="20" t="s">
        <v>244</v>
      </c>
      <c r="I651" s="20" t="s">
        <v>842</v>
      </c>
      <c r="J651" s="12">
        <v>12234</v>
      </c>
      <c r="K651" s="12"/>
      <c r="L651" s="12"/>
      <c r="M651" s="12">
        <v>12234</v>
      </c>
      <c r="N651" s="12">
        <v>6800</v>
      </c>
      <c r="O651" s="12"/>
      <c r="P651" s="12"/>
      <c r="Q651" s="12">
        <v>6800</v>
      </c>
      <c r="R651" s="12">
        <v>8800</v>
      </c>
      <c r="S651" s="12"/>
      <c r="T651" s="12"/>
      <c r="U651" s="12">
        <v>8800</v>
      </c>
      <c r="V651" s="407">
        <v>3434</v>
      </c>
      <c r="W651" s="693">
        <f t="shared" si="388"/>
        <v>3434</v>
      </c>
      <c r="X651" s="12"/>
      <c r="Y651" s="12">
        <v>3434</v>
      </c>
      <c r="Z651" s="12"/>
      <c r="AA651" s="12"/>
      <c r="AB651" s="557" t="s">
        <v>1622</v>
      </c>
      <c r="AC651" s="380">
        <f t="shared" si="372"/>
        <v>0</v>
      </c>
      <c r="AJ651" s="8" t="s">
        <v>685</v>
      </c>
    </row>
    <row r="652" spans="1:36" s="8" customFormat="1" ht="96.75" customHeight="1">
      <c r="A652" s="430" t="s">
        <v>144</v>
      </c>
      <c r="B652" s="692" t="s">
        <v>843</v>
      </c>
      <c r="C652" s="15" t="s">
        <v>89</v>
      </c>
      <c r="D652" s="20">
        <v>7731965</v>
      </c>
      <c r="E652" s="20"/>
      <c r="F652" s="20" t="s">
        <v>92</v>
      </c>
      <c r="G652" s="13" t="s">
        <v>826</v>
      </c>
      <c r="H652" s="20" t="s">
        <v>1167</v>
      </c>
      <c r="I652" s="20" t="s">
        <v>844</v>
      </c>
      <c r="J652" s="12">
        <v>14918</v>
      </c>
      <c r="K652" s="12"/>
      <c r="L652" s="12"/>
      <c r="M652" s="12">
        <v>14918</v>
      </c>
      <c r="N652" s="12">
        <v>3845</v>
      </c>
      <c r="O652" s="12"/>
      <c r="P652" s="12"/>
      <c r="Q652" s="12">
        <v>3845</v>
      </c>
      <c r="R652" s="12">
        <v>6195</v>
      </c>
      <c r="S652" s="12"/>
      <c r="T652" s="12"/>
      <c r="U652" s="12">
        <v>6195</v>
      </c>
      <c r="V652" s="407">
        <v>8723</v>
      </c>
      <c r="W652" s="693">
        <f t="shared" si="388"/>
        <v>8723</v>
      </c>
      <c r="X652" s="12"/>
      <c r="Y652" s="12">
        <v>8723</v>
      </c>
      <c r="Z652" s="12"/>
      <c r="AA652" s="12"/>
      <c r="AB652" s="557" t="s">
        <v>1622</v>
      </c>
      <c r="AC652" s="380">
        <f t="shared" si="372"/>
        <v>0</v>
      </c>
      <c r="AJ652" s="8" t="s">
        <v>685</v>
      </c>
    </row>
    <row r="653" spans="1:36" s="10" customFormat="1" ht="24" customHeight="1">
      <c r="A653" s="398" t="s">
        <v>1306</v>
      </c>
      <c r="B653" s="413" t="s">
        <v>1307</v>
      </c>
      <c r="C653" s="15" t="s">
        <v>89</v>
      </c>
      <c r="D653" s="423"/>
      <c r="E653" s="328"/>
      <c r="F653" s="328"/>
      <c r="G653" s="328"/>
      <c r="H653" s="328"/>
      <c r="I653" s="328"/>
      <c r="J653" s="436"/>
      <c r="K653" s="436"/>
      <c r="L653" s="436"/>
      <c r="M653" s="436"/>
      <c r="N653" s="436"/>
      <c r="O653" s="436"/>
      <c r="P653" s="436"/>
      <c r="Q653" s="436"/>
      <c r="R653" s="436"/>
      <c r="S653" s="436"/>
      <c r="T653" s="436"/>
      <c r="U653" s="436"/>
      <c r="V653" s="436"/>
      <c r="W653" s="436"/>
      <c r="X653" s="436"/>
      <c r="Y653" s="436"/>
      <c r="Z653" s="436"/>
      <c r="AA653" s="436"/>
      <c r="AB653" s="437"/>
      <c r="AC653" s="380">
        <f t="shared" si="372"/>
        <v>0</v>
      </c>
    </row>
    <row r="654" spans="1:36" s="231" customFormat="1" ht="36" customHeight="1">
      <c r="A654" s="426" t="s">
        <v>1313</v>
      </c>
      <c r="B654" s="317" t="s">
        <v>247</v>
      </c>
      <c r="C654" s="317" t="s">
        <v>247</v>
      </c>
      <c r="D654" s="694"/>
      <c r="E654" s="694"/>
      <c r="F654" s="306"/>
      <c r="G654" s="320"/>
      <c r="H654" s="306"/>
      <c r="I654" s="306"/>
      <c r="J654" s="14">
        <f t="shared" ref="J654:AA654" si="389">+J655</f>
        <v>35951</v>
      </c>
      <c r="K654" s="14">
        <f t="shared" si="389"/>
        <v>0</v>
      </c>
      <c r="L654" s="14">
        <f t="shared" si="389"/>
        <v>0</v>
      </c>
      <c r="M654" s="14">
        <f t="shared" si="389"/>
        <v>35951</v>
      </c>
      <c r="N654" s="14">
        <f t="shared" si="389"/>
        <v>19096</v>
      </c>
      <c r="O654" s="14">
        <f t="shared" si="389"/>
        <v>0</v>
      </c>
      <c r="P654" s="14">
        <f t="shared" si="389"/>
        <v>0</v>
      </c>
      <c r="Q654" s="14">
        <f t="shared" si="389"/>
        <v>19096</v>
      </c>
      <c r="R654" s="14">
        <f t="shared" si="389"/>
        <v>19096</v>
      </c>
      <c r="S654" s="14">
        <f t="shared" si="389"/>
        <v>0</v>
      </c>
      <c r="T654" s="14">
        <f t="shared" si="389"/>
        <v>0</v>
      </c>
      <c r="U654" s="14">
        <f t="shared" si="389"/>
        <v>19096</v>
      </c>
      <c r="V654" s="14">
        <f t="shared" si="389"/>
        <v>8000</v>
      </c>
      <c r="W654" s="14">
        <f t="shared" si="389"/>
        <v>6000</v>
      </c>
      <c r="X654" s="14">
        <f t="shared" si="389"/>
        <v>6000</v>
      </c>
      <c r="Y654" s="14">
        <f t="shared" si="389"/>
        <v>0</v>
      </c>
      <c r="Z654" s="14">
        <f t="shared" si="389"/>
        <v>0</v>
      </c>
      <c r="AA654" s="14">
        <f t="shared" si="389"/>
        <v>0</v>
      </c>
      <c r="AB654" s="102"/>
      <c r="AC654" s="380">
        <f t="shared" si="372"/>
        <v>0</v>
      </c>
    </row>
    <row r="655" spans="1:36" s="10" customFormat="1" ht="29.25" customHeight="1">
      <c r="A655" s="393" t="s">
        <v>1312</v>
      </c>
      <c r="B655" s="394" t="s">
        <v>38</v>
      </c>
      <c r="C655" s="15" t="s">
        <v>247</v>
      </c>
      <c r="D655" s="421"/>
      <c r="E655" s="421"/>
      <c r="F655" s="421"/>
      <c r="G655" s="421"/>
      <c r="H655" s="421"/>
      <c r="I655" s="421"/>
      <c r="J655" s="505">
        <f t="shared" ref="J655:AA655" si="390">+J657+J656+J659</f>
        <v>35951</v>
      </c>
      <c r="K655" s="505">
        <f t="shared" si="390"/>
        <v>0</v>
      </c>
      <c r="L655" s="505">
        <f t="shared" si="390"/>
        <v>0</v>
      </c>
      <c r="M655" s="505">
        <f t="shared" si="390"/>
        <v>35951</v>
      </c>
      <c r="N655" s="505">
        <f t="shared" si="390"/>
        <v>19096</v>
      </c>
      <c r="O655" s="505">
        <f t="shared" si="390"/>
        <v>0</v>
      </c>
      <c r="P655" s="505">
        <f t="shared" si="390"/>
        <v>0</v>
      </c>
      <c r="Q655" s="505">
        <f t="shared" si="390"/>
        <v>19096</v>
      </c>
      <c r="R655" s="505">
        <f t="shared" si="390"/>
        <v>19096</v>
      </c>
      <c r="S655" s="505">
        <f t="shared" si="390"/>
        <v>0</v>
      </c>
      <c r="T655" s="505">
        <f t="shared" si="390"/>
        <v>0</v>
      </c>
      <c r="U655" s="505">
        <f t="shared" si="390"/>
        <v>19096</v>
      </c>
      <c r="V655" s="505">
        <f t="shared" si="390"/>
        <v>8000</v>
      </c>
      <c r="W655" s="505">
        <f t="shared" si="390"/>
        <v>6000</v>
      </c>
      <c r="X655" s="505">
        <f t="shared" si="390"/>
        <v>6000</v>
      </c>
      <c r="Y655" s="505">
        <f t="shared" si="390"/>
        <v>0</v>
      </c>
      <c r="Z655" s="505">
        <f t="shared" si="390"/>
        <v>0</v>
      </c>
      <c r="AA655" s="505">
        <f t="shared" si="390"/>
        <v>0</v>
      </c>
      <c r="AB655" s="506"/>
      <c r="AC655" s="380">
        <f t="shared" si="372"/>
        <v>0</v>
      </c>
    </row>
    <row r="656" spans="1:36" s="10" customFormat="1" ht="39.75" customHeight="1">
      <c r="A656" s="332" t="s">
        <v>39</v>
      </c>
      <c r="B656" s="326" t="s">
        <v>1254</v>
      </c>
      <c r="C656" s="15" t="s">
        <v>247</v>
      </c>
      <c r="D656" s="554"/>
      <c r="E656" s="332"/>
      <c r="F656" s="471"/>
      <c r="G656" s="471"/>
      <c r="H656" s="332"/>
      <c r="I656" s="471"/>
      <c r="J656" s="331"/>
      <c r="K656" s="331"/>
      <c r="L656" s="331"/>
      <c r="M656" s="331"/>
      <c r="N656" s="331"/>
      <c r="O656" s="331"/>
      <c r="P656" s="331"/>
      <c r="Q656" s="331"/>
      <c r="R656" s="331"/>
      <c r="S656" s="331"/>
      <c r="T656" s="331"/>
      <c r="U656" s="331"/>
      <c r="V656" s="331"/>
      <c r="W656" s="331"/>
      <c r="X656" s="331"/>
      <c r="Y656" s="331"/>
      <c r="Z656" s="331"/>
      <c r="AA656" s="331"/>
      <c r="AB656" s="332"/>
      <c r="AC656" s="380">
        <f t="shared" si="372"/>
        <v>0</v>
      </c>
    </row>
    <row r="657" spans="1:36" s="10" customFormat="1" ht="45.75" customHeight="1">
      <c r="A657" s="397" t="s">
        <v>467</v>
      </c>
      <c r="B657" s="400" t="s">
        <v>183</v>
      </c>
      <c r="C657" s="15" t="s">
        <v>247</v>
      </c>
      <c r="D657" s="435"/>
      <c r="E657" s="435"/>
      <c r="F657" s="328"/>
      <c r="G657" s="328"/>
      <c r="H657" s="328"/>
      <c r="I657" s="328"/>
      <c r="J657" s="508">
        <f t="shared" ref="J657:V657" si="391">+J658</f>
        <v>35951</v>
      </c>
      <c r="K657" s="508">
        <f t="shared" si="391"/>
        <v>0</v>
      </c>
      <c r="L657" s="508">
        <f t="shared" si="391"/>
        <v>0</v>
      </c>
      <c r="M657" s="508">
        <f t="shared" si="391"/>
        <v>35951</v>
      </c>
      <c r="N657" s="508">
        <f t="shared" si="391"/>
        <v>19096</v>
      </c>
      <c r="O657" s="508">
        <f t="shared" si="391"/>
        <v>0</v>
      </c>
      <c r="P657" s="508">
        <f t="shared" si="391"/>
        <v>0</v>
      </c>
      <c r="Q657" s="508">
        <f t="shared" si="391"/>
        <v>19096</v>
      </c>
      <c r="R657" s="508">
        <f t="shared" si="391"/>
        <v>19096</v>
      </c>
      <c r="S657" s="508">
        <f t="shared" si="391"/>
        <v>0</v>
      </c>
      <c r="T657" s="508">
        <f t="shared" si="391"/>
        <v>0</v>
      </c>
      <c r="U657" s="508">
        <f t="shared" si="391"/>
        <v>19096</v>
      </c>
      <c r="V657" s="508">
        <f t="shared" si="391"/>
        <v>8000</v>
      </c>
      <c r="W657" s="508">
        <f>W658</f>
        <v>6000</v>
      </c>
      <c r="X657" s="508">
        <f t="shared" ref="X657:AA657" si="392">X658</f>
        <v>6000</v>
      </c>
      <c r="Y657" s="508">
        <f t="shared" si="392"/>
        <v>0</v>
      </c>
      <c r="Z657" s="508">
        <f t="shared" si="392"/>
        <v>0</v>
      </c>
      <c r="AA657" s="508">
        <f t="shared" si="392"/>
        <v>0</v>
      </c>
      <c r="AB657" s="509"/>
      <c r="AC657" s="380">
        <f t="shared" si="372"/>
        <v>0</v>
      </c>
    </row>
    <row r="658" spans="1:36" s="8" customFormat="1" ht="63" customHeight="1">
      <c r="A658" s="430" t="s">
        <v>144</v>
      </c>
      <c r="B658" s="27" t="s">
        <v>295</v>
      </c>
      <c r="C658" s="15" t="s">
        <v>247</v>
      </c>
      <c r="D658" s="13">
        <v>7889599</v>
      </c>
      <c r="E658" s="13">
        <v>292</v>
      </c>
      <c r="F658" s="13" t="s">
        <v>296</v>
      </c>
      <c r="G658" s="13"/>
      <c r="H658" s="13" t="s">
        <v>244</v>
      </c>
      <c r="I658" s="13" t="s">
        <v>297</v>
      </c>
      <c r="J658" s="28">
        <f>SUM(K658:M658)</f>
        <v>35951</v>
      </c>
      <c r="K658" s="28">
        <v>0</v>
      </c>
      <c r="L658" s="28">
        <v>0</v>
      </c>
      <c r="M658" s="399">
        <v>35951</v>
      </c>
      <c r="N658" s="28">
        <f>SUM(O658:Q658)</f>
        <v>19096</v>
      </c>
      <c r="O658" s="28">
        <v>0</v>
      </c>
      <c r="P658" s="28">
        <v>0</v>
      </c>
      <c r="Q658" s="12">
        <v>19096</v>
      </c>
      <c r="R658" s="28">
        <f>SUM(S658:U658)</f>
        <v>19096</v>
      </c>
      <c r="S658" s="28">
        <v>0</v>
      </c>
      <c r="T658" s="28">
        <v>0</v>
      </c>
      <c r="U658" s="12">
        <v>19096</v>
      </c>
      <c r="V658" s="407">
        <v>8000</v>
      </c>
      <c r="W658" s="407">
        <f>SUM(X658:AA658)</f>
        <v>6000</v>
      </c>
      <c r="X658" s="407">
        <v>6000</v>
      </c>
      <c r="Y658" s="407"/>
      <c r="Z658" s="407"/>
      <c r="AA658" s="407"/>
      <c r="AB658" s="557" t="s">
        <v>1622</v>
      </c>
      <c r="AC658" s="380">
        <f t="shared" si="372"/>
        <v>0</v>
      </c>
      <c r="AJ658" s="8" t="s">
        <v>685</v>
      </c>
    </row>
    <row r="659" spans="1:36" s="10" customFormat="1" ht="24" customHeight="1">
      <c r="A659" s="398" t="s">
        <v>1306</v>
      </c>
      <c r="B659" s="413" t="s">
        <v>1307</v>
      </c>
      <c r="C659" s="15" t="s">
        <v>247</v>
      </c>
      <c r="D659" s="423"/>
      <c r="E659" s="328"/>
      <c r="F659" s="328"/>
      <c r="G659" s="328"/>
      <c r="H659" s="328"/>
      <c r="I659" s="328"/>
      <c r="J659" s="436"/>
      <c r="K659" s="436"/>
      <c r="L659" s="436"/>
      <c r="M659" s="436"/>
      <c r="N659" s="436"/>
      <c r="O659" s="436"/>
      <c r="P659" s="436"/>
      <c r="Q659" s="436"/>
      <c r="R659" s="436"/>
      <c r="S659" s="436"/>
      <c r="T659" s="436"/>
      <c r="U659" s="436"/>
      <c r="V659" s="436"/>
      <c r="W659" s="436"/>
      <c r="X659" s="436"/>
      <c r="Y659" s="436"/>
      <c r="Z659" s="436"/>
      <c r="AA659" s="436"/>
      <c r="AB659" s="437"/>
      <c r="AC659" s="380">
        <f t="shared" si="372"/>
        <v>0</v>
      </c>
    </row>
    <row r="660" spans="1:36" s="231" customFormat="1" ht="39" customHeight="1">
      <c r="A660" s="426" t="s">
        <v>1333</v>
      </c>
      <c r="B660" s="441" t="s">
        <v>280</v>
      </c>
      <c r="C660" s="441" t="s">
        <v>280</v>
      </c>
      <c r="D660" s="320"/>
      <c r="E660" s="320"/>
      <c r="F660" s="320"/>
      <c r="G660" s="320"/>
      <c r="H660" s="320"/>
      <c r="I660" s="320"/>
      <c r="J660" s="609">
        <f>J661</f>
        <v>20107</v>
      </c>
      <c r="K660" s="609">
        <f t="shared" ref="K660:AA660" si="393">K661</f>
        <v>0</v>
      </c>
      <c r="L660" s="609">
        <f t="shared" si="393"/>
        <v>0</v>
      </c>
      <c r="M660" s="609">
        <f t="shared" si="393"/>
        <v>20107</v>
      </c>
      <c r="N660" s="609">
        <f t="shared" si="393"/>
        <v>15280</v>
      </c>
      <c r="O660" s="609">
        <f t="shared" si="393"/>
        <v>0</v>
      </c>
      <c r="P660" s="609">
        <f t="shared" si="393"/>
        <v>0</v>
      </c>
      <c r="Q660" s="609">
        <f t="shared" si="393"/>
        <v>15280</v>
      </c>
      <c r="R660" s="609">
        <f t="shared" si="393"/>
        <v>18508</v>
      </c>
      <c r="S660" s="609">
        <f t="shared" si="393"/>
        <v>0</v>
      </c>
      <c r="T660" s="609">
        <f t="shared" si="393"/>
        <v>0</v>
      </c>
      <c r="U660" s="609">
        <f t="shared" si="393"/>
        <v>18508</v>
      </c>
      <c r="V660" s="609">
        <f t="shared" si="393"/>
        <v>350</v>
      </c>
      <c r="W660" s="609">
        <f t="shared" si="393"/>
        <v>300</v>
      </c>
      <c r="X660" s="609">
        <f t="shared" si="393"/>
        <v>300</v>
      </c>
      <c r="Y660" s="609">
        <f t="shared" si="393"/>
        <v>0</v>
      </c>
      <c r="Z660" s="609">
        <f t="shared" si="393"/>
        <v>0</v>
      </c>
      <c r="AA660" s="609">
        <f t="shared" si="393"/>
        <v>0</v>
      </c>
      <c r="AB660" s="610"/>
      <c r="AC660" s="380">
        <f t="shared" si="372"/>
        <v>0</v>
      </c>
    </row>
    <row r="661" spans="1:36" s="422" customFormat="1" ht="31.5" customHeight="1">
      <c r="A661" s="393" t="s">
        <v>1315</v>
      </c>
      <c r="B661" s="443" t="s">
        <v>38</v>
      </c>
      <c r="C661" s="27" t="s">
        <v>280</v>
      </c>
      <c r="D661" s="421"/>
      <c r="E661" s="421"/>
      <c r="F661" s="421"/>
      <c r="G661" s="421"/>
      <c r="H661" s="421"/>
      <c r="I661" s="421"/>
      <c r="J661" s="505">
        <f t="shared" ref="J661:AA661" si="394">+J663+J666+J662</f>
        <v>20107</v>
      </c>
      <c r="K661" s="505">
        <f t="shared" si="394"/>
        <v>0</v>
      </c>
      <c r="L661" s="505">
        <f t="shared" si="394"/>
        <v>0</v>
      </c>
      <c r="M661" s="505">
        <f t="shared" si="394"/>
        <v>20107</v>
      </c>
      <c r="N661" s="505">
        <f t="shared" si="394"/>
        <v>15280</v>
      </c>
      <c r="O661" s="505">
        <f t="shared" si="394"/>
        <v>0</v>
      </c>
      <c r="P661" s="505">
        <f t="shared" si="394"/>
        <v>0</v>
      </c>
      <c r="Q661" s="505">
        <f t="shared" si="394"/>
        <v>15280</v>
      </c>
      <c r="R661" s="505">
        <f t="shared" si="394"/>
        <v>18508</v>
      </c>
      <c r="S661" s="505">
        <f t="shared" si="394"/>
        <v>0</v>
      </c>
      <c r="T661" s="505">
        <f t="shared" si="394"/>
        <v>0</v>
      </c>
      <c r="U661" s="505">
        <f t="shared" si="394"/>
        <v>18508</v>
      </c>
      <c r="V661" s="505">
        <f t="shared" si="394"/>
        <v>350</v>
      </c>
      <c r="W661" s="505">
        <f t="shared" si="394"/>
        <v>300</v>
      </c>
      <c r="X661" s="505">
        <f t="shared" si="394"/>
        <v>300</v>
      </c>
      <c r="Y661" s="505">
        <f t="shared" si="394"/>
        <v>0</v>
      </c>
      <c r="Z661" s="505">
        <f t="shared" si="394"/>
        <v>0</v>
      </c>
      <c r="AA661" s="505">
        <f t="shared" si="394"/>
        <v>0</v>
      </c>
      <c r="AB661" s="506"/>
      <c r="AC661" s="380">
        <f t="shared" si="372"/>
        <v>0</v>
      </c>
    </row>
    <row r="662" spans="1:36" s="10" customFormat="1" ht="39.75" customHeight="1">
      <c r="A662" s="332" t="s">
        <v>39</v>
      </c>
      <c r="B662" s="326" t="s">
        <v>1254</v>
      </c>
      <c r="C662" s="27" t="s">
        <v>280</v>
      </c>
      <c r="D662" s="554"/>
      <c r="E662" s="332"/>
      <c r="F662" s="471"/>
      <c r="G662" s="471"/>
      <c r="H662" s="332"/>
      <c r="I662" s="471"/>
      <c r="J662" s="331"/>
      <c r="K662" s="331"/>
      <c r="L662" s="331"/>
      <c r="M662" s="331"/>
      <c r="N662" s="331"/>
      <c r="O662" s="331"/>
      <c r="P662" s="331"/>
      <c r="Q662" s="331"/>
      <c r="R662" s="331"/>
      <c r="S662" s="331"/>
      <c r="T662" s="331"/>
      <c r="U662" s="331"/>
      <c r="V662" s="331"/>
      <c r="W662" s="331"/>
      <c r="X662" s="331"/>
      <c r="Y662" s="331"/>
      <c r="Z662" s="331"/>
      <c r="AA662" s="331"/>
      <c r="AB662" s="332"/>
      <c r="AC662" s="380">
        <f t="shared" si="372"/>
        <v>0</v>
      </c>
    </row>
    <row r="663" spans="1:36" s="422" customFormat="1" ht="49.5" customHeight="1">
      <c r="A663" s="397" t="s">
        <v>467</v>
      </c>
      <c r="B663" s="400" t="s">
        <v>183</v>
      </c>
      <c r="C663" s="27" t="s">
        <v>280</v>
      </c>
      <c r="D663" s="421"/>
      <c r="E663" s="421"/>
      <c r="F663" s="421"/>
      <c r="G663" s="421"/>
      <c r="H663" s="421"/>
      <c r="I663" s="421"/>
      <c r="J663" s="508">
        <f t="shared" ref="J663:AA663" si="395">+SUM(J664:J665)</f>
        <v>20107</v>
      </c>
      <c r="K663" s="508">
        <f t="shared" si="395"/>
        <v>0</v>
      </c>
      <c r="L663" s="508">
        <f t="shared" si="395"/>
        <v>0</v>
      </c>
      <c r="M663" s="508">
        <f t="shared" si="395"/>
        <v>20107</v>
      </c>
      <c r="N663" s="508">
        <f t="shared" si="395"/>
        <v>15280</v>
      </c>
      <c r="O663" s="508">
        <f t="shared" si="395"/>
        <v>0</v>
      </c>
      <c r="P663" s="508">
        <f t="shared" si="395"/>
        <v>0</v>
      </c>
      <c r="Q663" s="508">
        <f t="shared" si="395"/>
        <v>15280</v>
      </c>
      <c r="R663" s="508">
        <f t="shared" si="395"/>
        <v>18508</v>
      </c>
      <c r="S663" s="508">
        <f t="shared" si="395"/>
        <v>0</v>
      </c>
      <c r="T663" s="508">
        <f t="shared" si="395"/>
        <v>0</v>
      </c>
      <c r="U663" s="508">
        <f t="shared" si="395"/>
        <v>18508</v>
      </c>
      <c r="V663" s="508">
        <f t="shared" si="395"/>
        <v>350</v>
      </c>
      <c r="W663" s="508">
        <f t="shared" si="395"/>
        <v>300</v>
      </c>
      <c r="X663" s="508">
        <f t="shared" si="395"/>
        <v>300</v>
      </c>
      <c r="Y663" s="508">
        <f t="shared" si="395"/>
        <v>0</v>
      </c>
      <c r="Z663" s="508">
        <f t="shared" si="395"/>
        <v>0</v>
      </c>
      <c r="AA663" s="508">
        <f t="shared" si="395"/>
        <v>0</v>
      </c>
      <c r="AB663" s="509"/>
      <c r="AC663" s="380">
        <f t="shared" si="372"/>
        <v>0</v>
      </c>
    </row>
    <row r="664" spans="1:36" s="8" customFormat="1" ht="82.5" customHeight="1">
      <c r="A664" s="430" t="s">
        <v>144</v>
      </c>
      <c r="B664" s="695" t="s">
        <v>302</v>
      </c>
      <c r="C664" s="27" t="s">
        <v>280</v>
      </c>
      <c r="D664" s="696" t="s">
        <v>303</v>
      </c>
      <c r="E664" s="697">
        <v>292</v>
      </c>
      <c r="F664" s="11" t="s">
        <v>304</v>
      </c>
      <c r="G664" s="11"/>
      <c r="H664" s="309" t="s">
        <v>41</v>
      </c>
      <c r="I664" s="408" t="s">
        <v>305</v>
      </c>
      <c r="J664" s="44">
        <v>12618</v>
      </c>
      <c r="K664" s="12"/>
      <c r="L664" s="12"/>
      <c r="M664" s="44">
        <v>12618</v>
      </c>
      <c r="N664" s="44">
        <v>9240</v>
      </c>
      <c r="O664" s="12"/>
      <c r="P664" s="12"/>
      <c r="Q664" s="44">
        <v>9240</v>
      </c>
      <c r="R664" s="44">
        <f>12618-150</f>
        <v>12468</v>
      </c>
      <c r="S664" s="12"/>
      <c r="T664" s="12"/>
      <c r="U664" s="44">
        <f>12618-150</f>
        <v>12468</v>
      </c>
      <c r="V664" s="44">
        <v>200</v>
      </c>
      <c r="W664" s="12">
        <f>SUM(X664:AA664)</f>
        <v>150</v>
      </c>
      <c r="X664" s="12">
        <v>150</v>
      </c>
      <c r="Y664" s="12"/>
      <c r="Z664" s="12"/>
      <c r="AA664" s="12"/>
      <c r="AB664" s="408" t="s">
        <v>1622</v>
      </c>
      <c r="AC664" s="380">
        <f t="shared" si="372"/>
        <v>0</v>
      </c>
      <c r="AJ664" s="8" t="s">
        <v>685</v>
      </c>
    </row>
    <row r="665" spans="1:36" s="8" customFormat="1" ht="65.25" customHeight="1">
      <c r="A665" s="430" t="s">
        <v>144</v>
      </c>
      <c r="B665" s="695" t="s">
        <v>306</v>
      </c>
      <c r="C665" s="27" t="s">
        <v>280</v>
      </c>
      <c r="D665" s="696" t="s">
        <v>307</v>
      </c>
      <c r="E665" s="456" t="s">
        <v>308</v>
      </c>
      <c r="F665" s="18" t="s">
        <v>309</v>
      </c>
      <c r="G665" s="11"/>
      <c r="H665" s="309" t="s">
        <v>41</v>
      </c>
      <c r="I665" s="408" t="s">
        <v>310</v>
      </c>
      <c r="J665" s="44">
        <v>7489</v>
      </c>
      <c r="K665" s="12"/>
      <c r="L665" s="12"/>
      <c r="M665" s="44">
        <v>7489</v>
      </c>
      <c r="N665" s="44">
        <v>6040</v>
      </c>
      <c r="O665" s="12"/>
      <c r="P665" s="12"/>
      <c r="Q665" s="44">
        <v>6040</v>
      </c>
      <c r="R665" s="44">
        <v>6040</v>
      </c>
      <c r="S665" s="12"/>
      <c r="T665" s="12"/>
      <c r="U665" s="44">
        <v>6040</v>
      </c>
      <c r="V665" s="44">
        <v>150</v>
      </c>
      <c r="W665" s="12">
        <f>SUM(X665:AA665)</f>
        <v>150</v>
      </c>
      <c r="X665" s="12">
        <v>150</v>
      </c>
      <c r="Y665" s="12"/>
      <c r="Z665" s="12"/>
      <c r="AA665" s="12"/>
      <c r="AB665" s="91" t="s">
        <v>1622</v>
      </c>
      <c r="AC665" s="380">
        <f t="shared" si="372"/>
        <v>0</v>
      </c>
      <c r="AJ665" s="8" t="s">
        <v>685</v>
      </c>
    </row>
    <row r="666" spans="1:36" s="10" customFormat="1" ht="21" customHeight="1">
      <c r="A666" s="398" t="s">
        <v>1306</v>
      </c>
      <c r="B666" s="413" t="s">
        <v>1307</v>
      </c>
      <c r="C666" s="27" t="s">
        <v>280</v>
      </c>
      <c r="D666" s="448"/>
      <c r="E666" s="459"/>
      <c r="F666" s="424"/>
      <c r="G666" s="424"/>
      <c r="H666" s="425"/>
      <c r="I666" s="414"/>
      <c r="J666" s="449"/>
      <c r="K666" s="449"/>
      <c r="L666" s="449"/>
      <c r="M666" s="449"/>
      <c r="N666" s="449"/>
      <c r="O666" s="449"/>
      <c r="P666" s="449"/>
      <c r="Q666" s="449"/>
      <c r="R666" s="449"/>
      <c r="S666" s="449"/>
      <c r="T666" s="449"/>
      <c r="U666" s="449"/>
      <c r="V666" s="449"/>
      <c r="W666" s="449"/>
      <c r="X666" s="449"/>
      <c r="Y666" s="449"/>
      <c r="Z666" s="449"/>
      <c r="AA666" s="449"/>
      <c r="AB666" s="414"/>
      <c r="AC666" s="380">
        <f t="shared" si="372"/>
        <v>0</v>
      </c>
    </row>
    <row r="667" spans="1:36" s="231" customFormat="1" ht="47.25" customHeight="1">
      <c r="A667" s="426" t="s">
        <v>1369</v>
      </c>
      <c r="B667" s="698" t="s">
        <v>315</v>
      </c>
      <c r="C667" s="698" t="s">
        <v>315</v>
      </c>
      <c r="D667" s="629"/>
      <c r="E667" s="461"/>
      <c r="F667" s="318"/>
      <c r="G667" s="318"/>
      <c r="H667" s="311"/>
      <c r="I667" s="699"/>
      <c r="J667" s="429">
        <f t="shared" ref="J667:AA667" si="396">+J668</f>
        <v>148792</v>
      </c>
      <c r="K667" s="429">
        <f t="shared" si="396"/>
        <v>0</v>
      </c>
      <c r="L667" s="429">
        <f t="shared" si="396"/>
        <v>0</v>
      </c>
      <c r="M667" s="429">
        <f t="shared" si="396"/>
        <v>148792</v>
      </c>
      <c r="N667" s="429">
        <f t="shared" si="396"/>
        <v>104415</v>
      </c>
      <c r="O667" s="429">
        <f t="shared" si="396"/>
        <v>0</v>
      </c>
      <c r="P667" s="429">
        <f t="shared" si="396"/>
        <v>0</v>
      </c>
      <c r="Q667" s="429">
        <f t="shared" si="396"/>
        <v>104415</v>
      </c>
      <c r="R667" s="429">
        <f t="shared" si="396"/>
        <v>108195</v>
      </c>
      <c r="S667" s="429">
        <f t="shared" si="396"/>
        <v>0</v>
      </c>
      <c r="T667" s="429">
        <f t="shared" si="396"/>
        <v>0</v>
      </c>
      <c r="U667" s="429">
        <f t="shared" si="396"/>
        <v>108195</v>
      </c>
      <c r="V667" s="429">
        <f t="shared" si="396"/>
        <v>5680</v>
      </c>
      <c r="W667" s="429">
        <f t="shared" si="396"/>
        <v>5680</v>
      </c>
      <c r="X667" s="429">
        <f t="shared" si="396"/>
        <v>1900</v>
      </c>
      <c r="Y667" s="429">
        <f t="shared" si="396"/>
        <v>3780</v>
      </c>
      <c r="Z667" s="429">
        <f t="shared" si="396"/>
        <v>0</v>
      </c>
      <c r="AA667" s="429">
        <f t="shared" si="396"/>
        <v>0</v>
      </c>
      <c r="AB667" s="700"/>
      <c r="AC667" s="380">
        <f t="shared" ref="AC667:AC730" si="397">+W667-X667-Y667-Z667</f>
        <v>0</v>
      </c>
    </row>
    <row r="668" spans="1:36" s="8" customFormat="1" ht="27.75" customHeight="1">
      <c r="A668" s="613" t="s">
        <v>1332</v>
      </c>
      <c r="B668" s="317" t="s">
        <v>38</v>
      </c>
      <c r="C668" s="622" t="s">
        <v>315</v>
      </c>
      <c r="D668" s="320"/>
      <c r="E668" s="320"/>
      <c r="F668" s="320"/>
      <c r="G668" s="320"/>
      <c r="H668" s="320"/>
      <c r="I668" s="320"/>
      <c r="J668" s="14">
        <f t="shared" ref="J668:AA668" si="398">+J670+J673+J669</f>
        <v>148792</v>
      </c>
      <c r="K668" s="14">
        <f t="shared" si="398"/>
        <v>0</v>
      </c>
      <c r="L668" s="14">
        <f t="shared" si="398"/>
        <v>0</v>
      </c>
      <c r="M668" s="14">
        <f t="shared" si="398"/>
        <v>148792</v>
      </c>
      <c r="N668" s="14">
        <f t="shared" si="398"/>
        <v>104415</v>
      </c>
      <c r="O668" s="14">
        <f t="shared" si="398"/>
        <v>0</v>
      </c>
      <c r="P668" s="14">
        <f t="shared" si="398"/>
        <v>0</v>
      </c>
      <c r="Q668" s="14">
        <f t="shared" si="398"/>
        <v>104415</v>
      </c>
      <c r="R668" s="14">
        <f t="shared" si="398"/>
        <v>108195</v>
      </c>
      <c r="S668" s="14">
        <f t="shared" si="398"/>
        <v>0</v>
      </c>
      <c r="T668" s="14">
        <f t="shared" si="398"/>
        <v>0</v>
      </c>
      <c r="U668" s="14">
        <f t="shared" si="398"/>
        <v>108195</v>
      </c>
      <c r="V668" s="14">
        <f t="shared" si="398"/>
        <v>5680</v>
      </c>
      <c r="W668" s="14">
        <f t="shared" si="398"/>
        <v>5680</v>
      </c>
      <c r="X668" s="14">
        <f t="shared" si="398"/>
        <v>1900</v>
      </c>
      <c r="Y668" s="14">
        <f t="shared" si="398"/>
        <v>3780</v>
      </c>
      <c r="Z668" s="14">
        <f t="shared" si="398"/>
        <v>0</v>
      </c>
      <c r="AA668" s="14">
        <f t="shared" si="398"/>
        <v>0</v>
      </c>
      <c r="AB668" s="102"/>
      <c r="AC668" s="380">
        <f t="shared" si="397"/>
        <v>0</v>
      </c>
    </row>
    <row r="669" spans="1:36" s="10" customFormat="1" ht="39.75" customHeight="1">
      <c r="A669" s="332" t="s">
        <v>39</v>
      </c>
      <c r="B669" s="326" t="s">
        <v>1254</v>
      </c>
      <c r="C669" s="622" t="s">
        <v>315</v>
      </c>
      <c r="D669" s="554"/>
      <c r="E669" s="332"/>
      <c r="F669" s="471"/>
      <c r="G669" s="471"/>
      <c r="H669" s="332"/>
      <c r="I669" s="471"/>
      <c r="J669" s="331"/>
      <c r="K669" s="331"/>
      <c r="L669" s="331"/>
      <c r="M669" s="331"/>
      <c r="N669" s="331"/>
      <c r="O669" s="331"/>
      <c r="P669" s="331"/>
      <c r="Q669" s="331"/>
      <c r="R669" s="331"/>
      <c r="S669" s="331"/>
      <c r="T669" s="331"/>
      <c r="U669" s="331"/>
      <c r="V669" s="331"/>
      <c r="W669" s="331"/>
      <c r="X669" s="331"/>
      <c r="Y669" s="331"/>
      <c r="Z669" s="331"/>
      <c r="AA669" s="331"/>
      <c r="AB669" s="332"/>
      <c r="AC669" s="380">
        <f t="shared" si="397"/>
        <v>0</v>
      </c>
    </row>
    <row r="670" spans="1:36" s="10" customFormat="1" ht="46.5" customHeight="1">
      <c r="A670" s="397" t="s">
        <v>467</v>
      </c>
      <c r="B670" s="400" t="s">
        <v>183</v>
      </c>
      <c r="C670" s="622" t="s">
        <v>315</v>
      </c>
      <c r="D670" s="423"/>
      <c r="E670" s="423"/>
      <c r="F670" s="328"/>
      <c r="G670" s="328"/>
      <c r="H670" s="328"/>
      <c r="I670" s="701"/>
      <c r="J670" s="436">
        <f>+J671+J672</f>
        <v>148792</v>
      </c>
      <c r="K670" s="436">
        <f t="shared" ref="K670:AA670" si="399">+K671+K672</f>
        <v>0</v>
      </c>
      <c r="L670" s="436">
        <f t="shared" si="399"/>
        <v>0</v>
      </c>
      <c r="M670" s="436">
        <f t="shared" si="399"/>
        <v>148792</v>
      </c>
      <c r="N670" s="436">
        <f t="shared" si="399"/>
        <v>104415</v>
      </c>
      <c r="O670" s="436">
        <f t="shared" si="399"/>
        <v>0</v>
      </c>
      <c r="P670" s="436">
        <f t="shared" si="399"/>
        <v>0</v>
      </c>
      <c r="Q670" s="436">
        <f t="shared" si="399"/>
        <v>104415</v>
      </c>
      <c r="R670" s="436">
        <f t="shared" si="399"/>
        <v>108195</v>
      </c>
      <c r="S670" s="436">
        <f t="shared" si="399"/>
        <v>0</v>
      </c>
      <c r="T670" s="436">
        <f t="shared" si="399"/>
        <v>0</v>
      </c>
      <c r="U670" s="436">
        <f t="shared" si="399"/>
        <v>108195</v>
      </c>
      <c r="V670" s="436">
        <f t="shared" si="399"/>
        <v>5680</v>
      </c>
      <c r="W670" s="436">
        <f t="shared" si="399"/>
        <v>5680</v>
      </c>
      <c r="X670" s="436">
        <f t="shared" si="399"/>
        <v>1900</v>
      </c>
      <c r="Y670" s="436">
        <f t="shared" si="399"/>
        <v>3780</v>
      </c>
      <c r="Z670" s="436">
        <f t="shared" si="399"/>
        <v>0</v>
      </c>
      <c r="AA670" s="436">
        <f t="shared" si="399"/>
        <v>0</v>
      </c>
      <c r="AB670" s="437"/>
      <c r="AC670" s="380">
        <f t="shared" si="397"/>
        <v>0</v>
      </c>
    </row>
    <row r="671" spans="1:36" s="8" customFormat="1" ht="45">
      <c r="A671" s="430" t="s">
        <v>144</v>
      </c>
      <c r="B671" s="15" t="s">
        <v>317</v>
      </c>
      <c r="C671" s="622" t="s">
        <v>315</v>
      </c>
      <c r="D671" s="13">
        <v>7849224</v>
      </c>
      <c r="E671" s="13">
        <v>292</v>
      </c>
      <c r="F671" s="13" t="s">
        <v>318</v>
      </c>
      <c r="G671" s="13"/>
      <c r="H671" s="309" t="s">
        <v>73</v>
      </c>
      <c r="I671" s="643" t="s">
        <v>319</v>
      </c>
      <c r="J671" s="533">
        <v>78796</v>
      </c>
      <c r="K671" s="533"/>
      <c r="L671" s="533"/>
      <c r="M671" s="533">
        <v>78796</v>
      </c>
      <c r="N671" s="533">
        <v>56785</v>
      </c>
      <c r="O671" s="533"/>
      <c r="P671" s="533"/>
      <c r="Q671" s="533">
        <v>56785</v>
      </c>
      <c r="R671" s="533">
        <f>51000+5785</f>
        <v>56785</v>
      </c>
      <c r="S671" s="533"/>
      <c r="T671" s="533"/>
      <c r="U671" s="533">
        <f>51000+5785</f>
        <v>56785</v>
      </c>
      <c r="V671" s="407">
        <v>1900</v>
      </c>
      <c r="W671" s="533">
        <f>SUM(X671:AA671)</f>
        <v>1900</v>
      </c>
      <c r="X671" s="533">
        <v>1900</v>
      </c>
      <c r="Y671" s="533"/>
      <c r="Z671" s="533"/>
      <c r="AA671" s="533"/>
      <c r="AB671" s="316" t="s">
        <v>1622</v>
      </c>
      <c r="AC671" s="380">
        <f t="shared" si="397"/>
        <v>0</v>
      </c>
      <c r="AJ671" s="8" t="s">
        <v>685</v>
      </c>
    </row>
    <row r="672" spans="1:36" s="8" customFormat="1" ht="40.5" customHeight="1">
      <c r="A672" s="430" t="s">
        <v>144</v>
      </c>
      <c r="B672" s="15" t="s">
        <v>320</v>
      </c>
      <c r="C672" s="622" t="s">
        <v>315</v>
      </c>
      <c r="D672" s="13">
        <v>8080150</v>
      </c>
      <c r="E672" s="13">
        <v>292</v>
      </c>
      <c r="F672" s="13" t="s">
        <v>318</v>
      </c>
      <c r="G672" s="13"/>
      <c r="H672" s="309" t="s">
        <v>187</v>
      </c>
      <c r="I672" s="643" t="s">
        <v>321</v>
      </c>
      <c r="J672" s="533">
        <v>69996</v>
      </c>
      <c r="K672" s="533"/>
      <c r="L672" s="533"/>
      <c r="M672" s="533">
        <v>69996</v>
      </c>
      <c r="N672" s="533">
        <v>47630</v>
      </c>
      <c r="O672" s="533"/>
      <c r="P672" s="533"/>
      <c r="Q672" s="533">
        <v>47630</v>
      </c>
      <c r="R672" s="533">
        <f>36000+15210+200</f>
        <v>51410</v>
      </c>
      <c r="S672" s="533"/>
      <c r="T672" s="533"/>
      <c r="U672" s="533">
        <f>36000+15210+200</f>
        <v>51410</v>
      </c>
      <c r="V672" s="407">
        <v>3780</v>
      </c>
      <c r="W672" s="533">
        <f>SUM(X672:AA672)</f>
        <v>3780</v>
      </c>
      <c r="X672" s="533"/>
      <c r="Y672" s="533">
        <v>3780</v>
      </c>
      <c r="Z672" s="533"/>
      <c r="AA672" s="533"/>
      <c r="AB672" s="316" t="s">
        <v>1622</v>
      </c>
      <c r="AC672" s="380">
        <f t="shared" si="397"/>
        <v>0</v>
      </c>
      <c r="AJ672" s="8" t="s">
        <v>685</v>
      </c>
    </row>
    <row r="673" spans="1:43" s="10" customFormat="1" ht="22.5" customHeight="1">
      <c r="A673" s="398" t="s">
        <v>1306</v>
      </c>
      <c r="B673" s="413" t="s">
        <v>1307</v>
      </c>
      <c r="C673" s="622" t="s">
        <v>315</v>
      </c>
      <c r="D673" s="328"/>
      <c r="E673" s="328"/>
      <c r="F673" s="328"/>
      <c r="G673" s="328"/>
      <c r="H673" s="425"/>
      <c r="I673" s="701"/>
      <c r="J673" s="702"/>
      <c r="K673" s="702"/>
      <c r="L673" s="702"/>
      <c r="M673" s="702"/>
      <c r="N673" s="702"/>
      <c r="O673" s="702"/>
      <c r="P673" s="702"/>
      <c r="Q673" s="702"/>
      <c r="R673" s="702"/>
      <c r="S673" s="702"/>
      <c r="T673" s="702"/>
      <c r="U673" s="702"/>
      <c r="V673" s="702"/>
      <c r="W673" s="702"/>
      <c r="X673" s="702"/>
      <c r="Y673" s="702"/>
      <c r="Z673" s="702"/>
      <c r="AA673" s="702"/>
      <c r="AB673" s="448"/>
      <c r="AC673" s="380">
        <f t="shared" si="397"/>
        <v>0</v>
      </c>
    </row>
    <row r="674" spans="1:43" s="8" customFormat="1" ht="40.5" customHeight="1">
      <c r="A674" s="426" t="s">
        <v>1334</v>
      </c>
      <c r="B674" s="317" t="s">
        <v>201</v>
      </c>
      <c r="C674" s="317" t="s">
        <v>201</v>
      </c>
      <c r="D674" s="13"/>
      <c r="E674" s="13"/>
      <c r="F674" s="13"/>
      <c r="G674" s="15"/>
      <c r="H674" s="309"/>
      <c r="I674" s="643"/>
      <c r="J674" s="703">
        <f t="shared" ref="J674:AA674" si="400">+J675</f>
        <v>332440.75199999998</v>
      </c>
      <c r="K674" s="703">
        <f t="shared" si="400"/>
        <v>0</v>
      </c>
      <c r="L674" s="703">
        <f t="shared" si="400"/>
        <v>200000</v>
      </c>
      <c r="M674" s="703">
        <f t="shared" si="400"/>
        <v>132440.75200000001</v>
      </c>
      <c r="N674" s="703">
        <f t="shared" si="400"/>
        <v>216617</v>
      </c>
      <c r="O674" s="703">
        <f t="shared" si="400"/>
        <v>0</v>
      </c>
      <c r="P674" s="703">
        <f t="shared" si="400"/>
        <v>200000</v>
      </c>
      <c r="Q674" s="703">
        <f t="shared" si="400"/>
        <v>16617</v>
      </c>
      <c r="R674" s="703">
        <f t="shared" si="400"/>
        <v>211500</v>
      </c>
      <c r="S674" s="703">
        <f t="shared" si="400"/>
        <v>0</v>
      </c>
      <c r="T674" s="703">
        <f t="shared" si="400"/>
        <v>200000</v>
      </c>
      <c r="U674" s="703">
        <f t="shared" si="400"/>
        <v>11500</v>
      </c>
      <c r="V674" s="703">
        <f t="shared" si="400"/>
        <v>85731.752000000008</v>
      </c>
      <c r="W674" s="703">
        <f t="shared" si="400"/>
        <v>68186</v>
      </c>
      <c r="X674" s="703">
        <f t="shared" si="400"/>
        <v>54186</v>
      </c>
      <c r="Y674" s="703">
        <f t="shared" si="400"/>
        <v>14000</v>
      </c>
      <c r="Z674" s="703">
        <f t="shared" si="400"/>
        <v>0</v>
      </c>
      <c r="AA674" s="703">
        <f t="shared" si="400"/>
        <v>0</v>
      </c>
      <c r="AB674" s="629"/>
      <c r="AC674" s="380">
        <f t="shared" si="397"/>
        <v>0</v>
      </c>
    </row>
    <row r="675" spans="1:43" s="10" customFormat="1" ht="25.5" customHeight="1">
      <c r="A675" s="393" t="s">
        <v>1320</v>
      </c>
      <c r="B675" s="394" t="s">
        <v>38</v>
      </c>
      <c r="C675" s="15" t="s">
        <v>201</v>
      </c>
      <c r="D675" s="421"/>
      <c r="E675" s="421"/>
      <c r="F675" s="421"/>
      <c r="G675" s="421"/>
      <c r="H675" s="421"/>
      <c r="I675" s="421"/>
      <c r="J675" s="453">
        <f t="shared" ref="J675:AA675" si="401">+J679+J676+J684</f>
        <v>332440.75199999998</v>
      </c>
      <c r="K675" s="453">
        <f t="shared" si="401"/>
        <v>0</v>
      </c>
      <c r="L675" s="453">
        <f t="shared" si="401"/>
        <v>200000</v>
      </c>
      <c r="M675" s="453">
        <f t="shared" si="401"/>
        <v>132440.75200000001</v>
      </c>
      <c r="N675" s="453">
        <f t="shared" si="401"/>
        <v>216617</v>
      </c>
      <c r="O675" s="453">
        <f t="shared" si="401"/>
        <v>0</v>
      </c>
      <c r="P675" s="453">
        <f t="shared" si="401"/>
        <v>200000</v>
      </c>
      <c r="Q675" s="453">
        <f t="shared" si="401"/>
        <v>16617</v>
      </c>
      <c r="R675" s="453">
        <f t="shared" si="401"/>
        <v>211500</v>
      </c>
      <c r="S675" s="453">
        <f t="shared" si="401"/>
        <v>0</v>
      </c>
      <c r="T675" s="453">
        <f t="shared" si="401"/>
        <v>200000</v>
      </c>
      <c r="U675" s="453">
        <f t="shared" si="401"/>
        <v>11500</v>
      </c>
      <c r="V675" s="453">
        <f t="shared" si="401"/>
        <v>85731.752000000008</v>
      </c>
      <c r="W675" s="453">
        <f t="shared" si="401"/>
        <v>68186</v>
      </c>
      <c r="X675" s="453">
        <f t="shared" si="401"/>
        <v>54186</v>
      </c>
      <c r="Y675" s="453">
        <f t="shared" si="401"/>
        <v>14000</v>
      </c>
      <c r="Z675" s="453">
        <f t="shared" si="401"/>
        <v>0</v>
      </c>
      <c r="AA675" s="453">
        <f t="shared" si="401"/>
        <v>0</v>
      </c>
      <c r="AB675" s="454"/>
      <c r="AC675" s="380">
        <f t="shared" si="397"/>
        <v>0</v>
      </c>
    </row>
    <row r="676" spans="1:43" s="10" customFormat="1" ht="47.25" customHeight="1">
      <c r="A676" s="332" t="s">
        <v>39</v>
      </c>
      <c r="B676" s="326" t="s">
        <v>1254</v>
      </c>
      <c r="C676" s="15" t="s">
        <v>201</v>
      </c>
      <c r="D676" s="554"/>
      <c r="E676" s="332"/>
      <c r="F676" s="471"/>
      <c r="G676" s="471"/>
      <c r="H676" s="332"/>
      <c r="I676" s="471"/>
      <c r="J676" s="331">
        <f>+J677+J678</f>
        <v>24278</v>
      </c>
      <c r="K676" s="331">
        <f t="shared" ref="K676:AA676" si="402">+K677+K678</f>
        <v>0</v>
      </c>
      <c r="L676" s="331">
        <f t="shared" si="402"/>
        <v>0</v>
      </c>
      <c r="M676" s="331">
        <f t="shared" si="402"/>
        <v>24278</v>
      </c>
      <c r="N676" s="331">
        <f t="shared" si="402"/>
        <v>0</v>
      </c>
      <c r="O676" s="331">
        <f t="shared" si="402"/>
        <v>0</v>
      </c>
      <c r="P676" s="331">
        <f t="shared" si="402"/>
        <v>0</v>
      </c>
      <c r="Q676" s="331">
        <f t="shared" si="402"/>
        <v>0</v>
      </c>
      <c r="R676" s="331">
        <f t="shared" si="402"/>
        <v>0</v>
      </c>
      <c r="S676" s="331">
        <f t="shared" si="402"/>
        <v>0</v>
      </c>
      <c r="T676" s="331">
        <f t="shared" si="402"/>
        <v>0</v>
      </c>
      <c r="U676" s="331">
        <f t="shared" si="402"/>
        <v>0</v>
      </c>
      <c r="V676" s="331">
        <f t="shared" si="402"/>
        <v>955</v>
      </c>
      <c r="W676" s="331">
        <f t="shared" si="402"/>
        <v>955</v>
      </c>
      <c r="X676" s="331">
        <f t="shared" si="402"/>
        <v>955</v>
      </c>
      <c r="Y676" s="331">
        <f t="shared" si="402"/>
        <v>0</v>
      </c>
      <c r="Z676" s="331">
        <f t="shared" si="402"/>
        <v>0</v>
      </c>
      <c r="AA676" s="331">
        <f t="shared" si="402"/>
        <v>0</v>
      </c>
      <c r="AB676" s="332"/>
      <c r="AC676" s="380">
        <f t="shared" si="397"/>
        <v>0</v>
      </c>
    </row>
    <row r="677" spans="1:43" s="8" customFormat="1" ht="57" customHeight="1">
      <c r="A677" s="100" t="s">
        <v>144</v>
      </c>
      <c r="B677" s="42" t="s">
        <v>1696</v>
      </c>
      <c r="C677" s="15" t="s">
        <v>201</v>
      </c>
      <c r="D677" s="534">
        <v>7410948</v>
      </c>
      <c r="E677" s="94"/>
      <c r="F677" s="21" t="s">
        <v>1651</v>
      </c>
      <c r="G677" s="21"/>
      <c r="H677" s="94"/>
      <c r="I677" s="13" t="s">
        <v>1697</v>
      </c>
      <c r="J677" s="704">
        <v>4990</v>
      </c>
      <c r="K677" s="399"/>
      <c r="L677" s="399"/>
      <c r="M677" s="399">
        <v>4990</v>
      </c>
      <c r="N677" s="399"/>
      <c r="O677" s="399"/>
      <c r="P677" s="399"/>
      <c r="Q677" s="399"/>
      <c r="R677" s="399"/>
      <c r="S677" s="399"/>
      <c r="T677" s="399"/>
      <c r="U677" s="399"/>
      <c r="V677" s="399">
        <v>468</v>
      </c>
      <c r="W677" s="533">
        <f>SUM(X677:AA677)</f>
        <v>468</v>
      </c>
      <c r="X677" s="399">
        <v>468</v>
      </c>
      <c r="Y677" s="399"/>
      <c r="Z677" s="399"/>
      <c r="AA677" s="399"/>
      <c r="AB677" s="555" t="s">
        <v>1308</v>
      </c>
      <c r="AC677" s="380">
        <f t="shared" si="397"/>
        <v>0</v>
      </c>
      <c r="AJ677" s="555" t="s">
        <v>1308</v>
      </c>
      <c r="AP677" s="338"/>
      <c r="AQ677" s="119"/>
    </row>
    <row r="678" spans="1:43" s="8" customFormat="1" ht="57" customHeight="1">
      <c r="A678" s="100" t="s">
        <v>144</v>
      </c>
      <c r="B678" s="15" t="s">
        <v>1682</v>
      </c>
      <c r="C678" s="15" t="s">
        <v>201</v>
      </c>
      <c r="D678" s="534">
        <v>7312048</v>
      </c>
      <c r="E678" s="94"/>
      <c r="F678" s="21" t="s">
        <v>670</v>
      </c>
      <c r="G678" s="21"/>
      <c r="H678" s="94"/>
      <c r="I678" s="21" t="s">
        <v>1683</v>
      </c>
      <c r="J678" s="399">
        <v>19288</v>
      </c>
      <c r="K678" s="399"/>
      <c r="L678" s="399"/>
      <c r="M678" s="399">
        <v>19288</v>
      </c>
      <c r="N678" s="399"/>
      <c r="O678" s="399"/>
      <c r="P678" s="399"/>
      <c r="Q678" s="399"/>
      <c r="R678" s="399"/>
      <c r="S678" s="399"/>
      <c r="T678" s="399"/>
      <c r="U678" s="399"/>
      <c r="V678" s="399">
        <v>487</v>
      </c>
      <c r="W678" s="533">
        <f>SUM(X678:AA678)</f>
        <v>487</v>
      </c>
      <c r="X678" s="399">
        <v>487</v>
      </c>
      <c r="Y678" s="399"/>
      <c r="Z678" s="399"/>
      <c r="AA678" s="399"/>
      <c r="AB678" s="555" t="s">
        <v>1308</v>
      </c>
      <c r="AC678" s="380">
        <f t="shared" si="397"/>
        <v>0</v>
      </c>
      <c r="AJ678" s="555" t="s">
        <v>1308</v>
      </c>
      <c r="AP678" s="338"/>
      <c r="AQ678" s="119"/>
    </row>
    <row r="679" spans="1:43" s="10" customFormat="1" ht="54" customHeight="1">
      <c r="A679" s="397" t="s">
        <v>467</v>
      </c>
      <c r="B679" s="400" t="s">
        <v>183</v>
      </c>
      <c r="C679" s="15" t="s">
        <v>201</v>
      </c>
      <c r="D679" s="423"/>
      <c r="E679" s="423"/>
      <c r="F679" s="328"/>
      <c r="G679" s="328"/>
      <c r="H679" s="328"/>
      <c r="I679" s="328"/>
      <c r="J679" s="436">
        <f>+SUM(J680:J683)</f>
        <v>308162.75199999998</v>
      </c>
      <c r="K679" s="436">
        <f t="shared" ref="K679:AA679" si="403">+SUM(K680:K683)</f>
        <v>0</v>
      </c>
      <c r="L679" s="436">
        <f t="shared" si="403"/>
        <v>200000</v>
      </c>
      <c r="M679" s="436">
        <f t="shared" si="403"/>
        <v>108162.75200000001</v>
      </c>
      <c r="N679" s="436">
        <f t="shared" si="403"/>
        <v>216617</v>
      </c>
      <c r="O679" s="436">
        <f t="shared" si="403"/>
        <v>0</v>
      </c>
      <c r="P679" s="436">
        <f t="shared" si="403"/>
        <v>200000</v>
      </c>
      <c r="Q679" s="436">
        <f t="shared" si="403"/>
        <v>16617</v>
      </c>
      <c r="R679" s="436">
        <f t="shared" si="403"/>
        <v>211500</v>
      </c>
      <c r="S679" s="436">
        <f t="shared" si="403"/>
        <v>0</v>
      </c>
      <c r="T679" s="436">
        <f t="shared" si="403"/>
        <v>200000</v>
      </c>
      <c r="U679" s="436">
        <f t="shared" si="403"/>
        <v>11500</v>
      </c>
      <c r="V679" s="436">
        <f t="shared" si="403"/>
        <v>84776.752000000008</v>
      </c>
      <c r="W679" s="436">
        <f>+SUM(W680:W683)</f>
        <v>67231</v>
      </c>
      <c r="X679" s="436">
        <f>+SUM(X680:X683)</f>
        <v>53231</v>
      </c>
      <c r="Y679" s="436">
        <f t="shared" si="403"/>
        <v>14000</v>
      </c>
      <c r="Z679" s="436">
        <f t="shared" si="403"/>
        <v>0</v>
      </c>
      <c r="AA679" s="436">
        <f t="shared" si="403"/>
        <v>0</v>
      </c>
      <c r="AB679" s="437"/>
      <c r="AC679" s="380">
        <f t="shared" si="397"/>
        <v>0</v>
      </c>
    </row>
    <row r="680" spans="1:43" s="8" customFormat="1" ht="66" customHeight="1">
      <c r="A680" s="401" t="s">
        <v>144</v>
      </c>
      <c r="B680" s="42" t="s">
        <v>322</v>
      </c>
      <c r="C680" s="15" t="s">
        <v>201</v>
      </c>
      <c r="D680" s="13">
        <v>8145182</v>
      </c>
      <c r="E680" s="13">
        <v>292</v>
      </c>
      <c r="F680" s="13" t="s">
        <v>202</v>
      </c>
      <c r="G680" s="408" t="s">
        <v>186</v>
      </c>
      <c r="H680" s="13" t="s">
        <v>136</v>
      </c>
      <c r="I680" s="13" t="s">
        <v>323</v>
      </c>
      <c r="J680" s="19">
        <v>11617</v>
      </c>
      <c r="K680" s="44"/>
      <c r="L680" s="44"/>
      <c r="M680" s="44">
        <v>11617</v>
      </c>
      <c r="N680" s="407">
        <f>SUM(O680:Q680)</f>
        <v>11617</v>
      </c>
      <c r="O680" s="44"/>
      <c r="P680" s="44"/>
      <c r="Q680" s="44">
        <v>11617</v>
      </c>
      <c r="R680" s="407">
        <f>SUM(S680:U680)</f>
        <v>6500</v>
      </c>
      <c r="S680" s="44"/>
      <c r="T680" s="44"/>
      <c r="U680" s="44">
        <v>6500</v>
      </c>
      <c r="V680" s="44">
        <v>4000</v>
      </c>
      <c r="W680" s="533">
        <f>SUM(X680:AA680)</f>
        <v>4000</v>
      </c>
      <c r="X680" s="44">
        <v>4000</v>
      </c>
      <c r="Y680" s="44"/>
      <c r="Z680" s="44"/>
      <c r="AA680" s="44"/>
      <c r="AB680" s="408" t="s">
        <v>1639</v>
      </c>
      <c r="AC680" s="380">
        <f t="shared" si="397"/>
        <v>0</v>
      </c>
      <c r="AJ680" s="8" t="s">
        <v>685</v>
      </c>
    </row>
    <row r="681" spans="1:43" s="8" customFormat="1" ht="100.5" customHeight="1">
      <c r="A681" s="401" t="s">
        <v>144</v>
      </c>
      <c r="B681" s="42" t="s">
        <v>328</v>
      </c>
      <c r="C681" s="15" t="s">
        <v>201</v>
      </c>
      <c r="D681" s="13"/>
      <c r="E681" s="13"/>
      <c r="F681" s="13" t="s">
        <v>670</v>
      </c>
      <c r="G681" s="404" t="s">
        <v>186</v>
      </c>
      <c r="H681" s="13" t="s">
        <v>53</v>
      </c>
      <c r="I681" s="13" t="s">
        <v>329</v>
      </c>
      <c r="J681" s="19">
        <v>13575.752</v>
      </c>
      <c r="K681" s="44"/>
      <c r="L681" s="44"/>
      <c r="M681" s="19">
        <v>13575.752</v>
      </c>
      <c r="N681" s="407">
        <v>2500</v>
      </c>
      <c r="O681" s="44"/>
      <c r="P681" s="44"/>
      <c r="Q681" s="407">
        <v>2500</v>
      </c>
      <c r="R681" s="407">
        <v>2500</v>
      </c>
      <c r="S681" s="44"/>
      <c r="T681" s="44"/>
      <c r="U681" s="407">
        <v>2500</v>
      </c>
      <c r="V681" s="95">
        <v>13575.752</v>
      </c>
      <c r="W681" s="533">
        <f t="shared" ref="W681:W683" si="404">SUM(X681:AA681)</f>
        <v>7000</v>
      </c>
      <c r="X681" s="44"/>
      <c r="Y681" s="95">
        <v>7000</v>
      </c>
      <c r="Z681" s="44"/>
      <c r="AA681" s="44"/>
      <c r="AB681" s="408"/>
      <c r="AC681" s="380">
        <f t="shared" si="397"/>
        <v>0</v>
      </c>
      <c r="AJ681" s="8" t="s">
        <v>685</v>
      </c>
    </row>
    <row r="682" spans="1:43" s="8" customFormat="1" ht="100.5" customHeight="1">
      <c r="A682" s="401" t="s">
        <v>144</v>
      </c>
      <c r="B682" s="42" t="s">
        <v>326</v>
      </c>
      <c r="C682" s="15" t="s">
        <v>201</v>
      </c>
      <c r="D682" s="13"/>
      <c r="E682" s="13"/>
      <c r="F682" s="13" t="s">
        <v>399</v>
      </c>
      <c r="G682" s="404" t="s">
        <v>186</v>
      </c>
      <c r="H682" s="13" t="s">
        <v>53</v>
      </c>
      <c r="I682" s="13" t="s">
        <v>327</v>
      </c>
      <c r="J682" s="19">
        <v>17970</v>
      </c>
      <c r="K682" s="44"/>
      <c r="L682" s="44"/>
      <c r="M682" s="19">
        <v>17970</v>
      </c>
      <c r="N682" s="407">
        <v>2500</v>
      </c>
      <c r="O682" s="44"/>
      <c r="P682" s="44"/>
      <c r="Q682" s="407">
        <v>2500</v>
      </c>
      <c r="R682" s="407">
        <v>2500</v>
      </c>
      <c r="S682" s="44"/>
      <c r="T682" s="44"/>
      <c r="U682" s="407">
        <v>2500</v>
      </c>
      <c r="V682" s="95">
        <v>17970</v>
      </c>
      <c r="W682" s="533">
        <f t="shared" si="404"/>
        <v>7000</v>
      </c>
      <c r="X682" s="44"/>
      <c r="Y682" s="95">
        <v>7000</v>
      </c>
      <c r="Z682" s="44"/>
      <c r="AA682" s="44"/>
      <c r="AB682" s="408"/>
      <c r="AC682" s="380">
        <f t="shared" si="397"/>
        <v>0</v>
      </c>
      <c r="AJ682" s="8" t="s">
        <v>685</v>
      </c>
    </row>
    <row r="683" spans="1:43" s="8" customFormat="1" ht="49.5" customHeight="1">
      <c r="A683" s="401" t="s">
        <v>144</v>
      </c>
      <c r="B683" s="27" t="s">
        <v>324</v>
      </c>
      <c r="C683" s="15" t="s">
        <v>201</v>
      </c>
      <c r="D683" s="13">
        <v>8050795</v>
      </c>
      <c r="E683" s="13">
        <v>292</v>
      </c>
      <c r="F683" s="13" t="s">
        <v>202</v>
      </c>
      <c r="G683" s="408" t="s">
        <v>197</v>
      </c>
      <c r="H683" s="13" t="s">
        <v>49</v>
      </c>
      <c r="I683" s="21" t="s">
        <v>325</v>
      </c>
      <c r="J683" s="19">
        <v>265000</v>
      </c>
      <c r="K683" s="44"/>
      <c r="L683" s="44">
        <v>200000</v>
      </c>
      <c r="M683" s="44">
        <v>65000</v>
      </c>
      <c r="N683" s="407">
        <f>SUM(O683:Q683)</f>
        <v>200000</v>
      </c>
      <c r="O683" s="44"/>
      <c r="P683" s="44">
        <v>200000</v>
      </c>
      <c r="Q683" s="44">
        <v>0</v>
      </c>
      <c r="R683" s="407">
        <f>SUM(S683:U683)</f>
        <v>200000</v>
      </c>
      <c r="S683" s="44"/>
      <c r="T683" s="44">
        <v>200000</v>
      </c>
      <c r="U683" s="44">
        <v>0</v>
      </c>
      <c r="V683" s="44">
        <f>55000-5769</f>
        <v>49231</v>
      </c>
      <c r="W683" s="533">
        <f t="shared" si="404"/>
        <v>49231</v>
      </c>
      <c r="X683" s="44">
        <v>49231</v>
      </c>
      <c r="Y683" s="44"/>
      <c r="Z683" s="44"/>
      <c r="AA683" s="44"/>
      <c r="AB683" s="316" t="s">
        <v>1622</v>
      </c>
      <c r="AC683" s="380">
        <f t="shared" si="397"/>
        <v>0</v>
      </c>
      <c r="AJ683" s="8" t="s">
        <v>685</v>
      </c>
    </row>
    <row r="684" spans="1:43" s="10" customFormat="1" ht="22.5" customHeight="1">
      <c r="A684" s="398" t="s">
        <v>1306</v>
      </c>
      <c r="B684" s="413" t="s">
        <v>1307</v>
      </c>
      <c r="C684" s="15" t="s">
        <v>201</v>
      </c>
      <c r="D684" s="328"/>
      <c r="E684" s="328"/>
      <c r="F684" s="328"/>
      <c r="G684" s="328"/>
      <c r="H684" s="425"/>
      <c r="I684" s="701"/>
      <c r="J684" s="702"/>
      <c r="K684" s="702"/>
      <c r="L684" s="702"/>
      <c r="M684" s="702"/>
      <c r="N684" s="702"/>
      <c r="O684" s="702"/>
      <c r="P684" s="702"/>
      <c r="Q684" s="702"/>
      <c r="R684" s="702"/>
      <c r="S684" s="702"/>
      <c r="T684" s="702"/>
      <c r="U684" s="702"/>
      <c r="V684" s="702"/>
      <c r="W684" s="702"/>
      <c r="X684" s="702"/>
      <c r="Y684" s="702"/>
      <c r="Z684" s="702"/>
      <c r="AA684" s="702"/>
      <c r="AB684" s="448"/>
      <c r="AC684" s="380">
        <f t="shared" si="397"/>
        <v>0</v>
      </c>
    </row>
    <row r="685" spans="1:43" s="8" customFormat="1" ht="39.75" customHeight="1">
      <c r="A685" s="705">
        <v>11</v>
      </c>
      <c r="B685" s="706" t="s">
        <v>203</v>
      </c>
      <c r="C685" s="706" t="s">
        <v>203</v>
      </c>
      <c r="D685" s="707"/>
      <c r="E685" s="707"/>
      <c r="F685" s="313"/>
      <c r="G685" s="404"/>
      <c r="H685" s="13"/>
      <c r="I685" s="98"/>
      <c r="J685" s="105">
        <f t="shared" ref="J685:AA685" si="405">+J686</f>
        <v>842907</v>
      </c>
      <c r="K685" s="105">
        <f t="shared" si="405"/>
        <v>0</v>
      </c>
      <c r="L685" s="105">
        <f t="shared" si="405"/>
        <v>0</v>
      </c>
      <c r="M685" s="105">
        <f t="shared" si="405"/>
        <v>842907</v>
      </c>
      <c r="N685" s="105">
        <f t="shared" si="405"/>
        <v>458464</v>
      </c>
      <c r="O685" s="105">
        <f t="shared" si="405"/>
        <v>0</v>
      </c>
      <c r="P685" s="105">
        <f t="shared" si="405"/>
        <v>0</v>
      </c>
      <c r="Q685" s="105">
        <f t="shared" si="405"/>
        <v>458464</v>
      </c>
      <c r="R685" s="105">
        <f t="shared" si="405"/>
        <v>587057</v>
      </c>
      <c r="S685" s="105">
        <f t="shared" si="405"/>
        <v>0</v>
      </c>
      <c r="T685" s="105">
        <f t="shared" si="405"/>
        <v>0</v>
      </c>
      <c r="U685" s="105">
        <f t="shared" si="405"/>
        <v>587057</v>
      </c>
      <c r="V685" s="105">
        <f t="shared" si="405"/>
        <v>248133</v>
      </c>
      <c r="W685" s="105">
        <f t="shared" si="405"/>
        <v>179659</v>
      </c>
      <c r="X685" s="105">
        <f t="shared" si="405"/>
        <v>0</v>
      </c>
      <c r="Y685" s="105">
        <f t="shared" si="405"/>
        <v>179659</v>
      </c>
      <c r="Z685" s="105">
        <f t="shared" si="405"/>
        <v>0</v>
      </c>
      <c r="AA685" s="105">
        <f t="shared" si="405"/>
        <v>0</v>
      </c>
      <c r="AB685" s="307"/>
      <c r="AC685" s="380">
        <f t="shared" si="397"/>
        <v>0</v>
      </c>
    </row>
    <row r="686" spans="1:43" s="10" customFormat="1" ht="40.5" customHeight="1">
      <c r="A686" s="393" t="s">
        <v>1321</v>
      </c>
      <c r="B686" s="394" t="s">
        <v>38</v>
      </c>
      <c r="C686" s="708" t="s">
        <v>203</v>
      </c>
      <c r="D686" s="421"/>
      <c r="E686" s="421"/>
      <c r="F686" s="421"/>
      <c r="G686" s="646"/>
      <c r="H686" s="421"/>
      <c r="I686" s="421"/>
      <c r="J686" s="453">
        <f>+J688+J697+J687</f>
        <v>842907</v>
      </c>
      <c r="K686" s="453">
        <f t="shared" ref="K686:AA686" si="406">+K688+K697+K687</f>
        <v>0</v>
      </c>
      <c r="L686" s="453">
        <f t="shared" si="406"/>
        <v>0</v>
      </c>
      <c r="M686" s="453">
        <f t="shared" si="406"/>
        <v>842907</v>
      </c>
      <c r="N686" s="453">
        <f t="shared" si="406"/>
        <v>458464</v>
      </c>
      <c r="O686" s="453">
        <f t="shared" si="406"/>
        <v>0</v>
      </c>
      <c r="P686" s="453">
        <f t="shared" si="406"/>
        <v>0</v>
      </c>
      <c r="Q686" s="453">
        <f t="shared" si="406"/>
        <v>458464</v>
      </c>
      <c r="R686" s="453">
        <f t="shared" si="406"/>
        <v>587057</v>
      </c>
      <c r="S686" s="453">
        <f t="shared" si="406"/>
        <v>0</v>
      </c>
      <c r="T686" s="453">
        <f t="shared" si="406"/>
        <v>0</v>
      </c>
      <c r="U686" s="453">
        <f t="shared" si="406"/>
        <v>587057</v>
      </c>
      <c r="V686" s="453">
        <f t="shared" si="406"/>
        <v>248133</v>
      </c>
      <c r="W686" s="453">
        <f t="shared" si="406"/>
        <v>179659</v>
      </c>
      <c r="X686" s="453">
        <f t="shared" si="406"/>
        <v>0</v>
      </c>
      <c r="Y686" s="453">
        <f t="shared" si="406"/>
        <v>179659</v>
      </c>
      <c r="Z686" s="453">
        <f t="shared" si="406"/>
        <v>0</v>
      </c>
      <c r="AA686" s="453">
        <f t="shared" si="406"/>
        <v>0</v>
      </c>
      <c r="AB686" s="454"/>
      <c r="AC686" s="380">
        <f t="shared" si="397"/>
        <v>0</v>
      </c>
    </row>
    <row r="687" spans="1:43" s="10" customFormat="1" ht="39.75" customHeight="1">
      <c r="A687" s="332" t="s">
        <v>39</v>
      </c>
      <c r="B687" s="326" t="s">
        <v>1254</v>
      </c>
      <c r="C687" s="708" t="s">
        <v>203</v>
      </c>
      <c r="D687" s="554"/>
      <c r="E687" s="332"/>
      <c r="F687" s="471"/>
      <c r="G687" s="471"/>
      <c r="H687" s="332"/>
      <c r="I687" s="471"/>
      <c r="J687" s="331"/>
      <c r="K687" s="331"/>
      <c r="L687" s="331"/>
      <c r="M687" s="331"/>
      <c r="N687" s="331"/>
      <c r="O687" s="331"/>
      <c r="P687" s="331"/>
      <c r="Q687" s="331"/>
      <c r="R687" s="331"/>
      <c r="S687" s="331"/>
      <c r="T687" s="331"/>
      <c r="U687" s="331"/>
      <c r="V687" s="331"/>
      <c r="W687" s="331"/>
      <c r="X687" s="331"/>
      <c r="Y687" s="331"/>
      <c r="Z687" s="331"/>
      <c r="AA687" s="331"/>
      <c r="AB687" s="332"/>
      <c r="AC687" s="380">
        <f t="shared" si="397"/>
        <v>0</v>
      </c>
    </row>
    <row r="688" spans="1:43" s="10" customFormat="1" ht="44.25" customHeight="1">
      <c r="A688" s="397" t="s">
        <v>467</v>
      </c>
      <c r="B688" s="400" t="s">
        <v>183</v>
      </c>
      <c r="C688" s="708" t="s">
        <v>203</v>
      </c>
      <c r="D688" s="423"/>
      <c r="E688" s="423"/>
      <c r="F688" s="328"/>
      <c r="G688" s="646"/>
      <c r="H688" s="328"/>
      <c r="I688" s="328"/>
      <c r="J688" s="436">
        <f>SUM(J689:J696)</f>
        <v>842907</v>
      </c>
      <c r="K688" s="436">
        <f t="shared" ref="K688:AA688" si="407">SUM(K689:K696)</f>
        <v>0</v>
      </c>
      <c r="L688" s="436">
        <f t="shared" si="407"/>
        <v>0</v>
      </c>
      <c r="M688" s="436">
        <f t="shared" si="407"/>
        <v>842907</v>
      </c>
      <c r="N688" s="436">
        <f t="shared" si="407"/>
        <v>458464</v>
      </c>
      <c r="O688" s="436">
        <f t="shared" si="407"/>
        <v>0</v>
      </c>
      <c r="P688" s="436">
        <f t="shared" si="407"/>
        <v>0</v>
      </c>
      <c r="Q688" s="436">
        <f t="shared" si="407"/>
        <v>458464</v>
      </c>
      <c r="R688" s="436">
        <f t="shared" si="407"/>
        <v>587057</v>
      </c>
      <c r="S688" s="436">
        <f t="shared" si="407"/>
        <v>0</v>
      </c>
      <c r="T688" s="436">
        <f t="shared" si="407"/>
        <v>0</v>
      </c>
      <c r="U688" s="436">
        <f t="shared" si="407"/>
        <v>587057</v>
      </c>
      <c r="V688" s="436">
        <f t="shared" si="407"/>
        <v>248133</v>
      </c>
      <c r="W688" s="436">
        <f>SUM(W689:W696)</f>
        <v>179659</v>
      </c>
      <c r="X688" s="436">
        <f t="shared" si="407"/>
        <v>0</v>
      </c>
      <c r="Y688" s="436">
        <f t="shared" si="407"/>
        <v>179659</v>
      </c>
      <c r="Z688" s="436">
        <f t="shared" si="407"/>
        <v>0</v>
      </c>
      <c r="AA688" s="436">
        <f t="shared" si="407"/>
        <v>0</v>
      </c>
      <c r="AB688" s="437"/>
      <c r="AC688" s="380">
        <f t="shared" si="397"/>
        <v>0</v>
      </c>
    </row>
    <row r="689" spans="1:36" s="8" customFormat="1" ht="61.5" customHeight="1">
      <c r="A689" s="430" t="s">
        <v>144</v>
      </c>
      <c r="B689" s="709" t="s">
        <v>331</v>
      </c>
      <c r="C689" s="708" t="s">
        <v>203</v>
      </c>
      <c r="D689" s="349" t="s">
        <v>332</v>
      </c>
      <c r="E689" s="433">
        <v>312</v>
      </c>
      <c r="F689" s="434" t="s">
        <v>206</v>
      </c>
      <c r="G689" s="404"/>
      <c r="H689" s="433" t="s">
        <v>41</v>
      </c>
      <c r="I689" s="710" t="s">
        <v>333</v>
      </c>
      <c r="J689" s="107">
        <v>27772</v>
      </c>
      <c r="K689" s="12"/>
      <c r="L689" s="12"/>
      <c r="M689" s="19">
        <f t="shared" ref="M689:M696" si="408">J689</f>
        <v>27772</v>
      </c>
      <c r="N689" s="12">
        <f t="shared" ref="N689:N696" si="409">O689+P689+Q689</f>
        <v>15744</v>
      </c>
      <c r="O689" s="12"/>
      <c r="P689" s="12"/>
      <c r="Q689" s="407">
        <v>15744</v>
      </c>
      <c r="R689" s="12">
        <f t="shared" ref="R689:R696" si="410">S689+T689+U689</f>
        <v>17500</v>
      </c>
      <c r="S689" s="12"/>
      <c r="T689" s="12"/>
      <c r="U689" s="407">
        <v>17500</v>
      </c>
      <c r="V689" s="19">
        <v>1000</v>
      </c>
      <c r="W689" s="12">
        <f>SUM(X689:AA689)</f>
        <v>500</v>
      </c>
      <c r="X689" s="12"/>
      <c r="Y689" s="12">
        <v>500</v>
      </c>
      <c r="Z689" s="12"/>
      <c r="AA689" s="12"/>
      <c r="AB689" s="91" t="s">
        <v>1622</v>
      </c>
      <c r="AC689" s="380">
        <f t="shared" si="397"/>
        <v>0</v>
      </c>
      <c r="AJ689" s="8" t="s">
        <v>685</v>
      </c>
    </row>
    <row r="690" spans="1:36" s="8" customFormat="1" ht="82.9" customHeight="1">
      <c r="A690" s="430" t="s">
        <v>144</v>
      </c>
      <c r="B690" s="709" t="s">
        <v>334</v>
      </c>
      <c r="C690" s="708" t="s">
        <v>203</v>
      </c>
      <c r="D690" s="349" t="s">
        <v>335</v>
      </c>
      <c r="E690" s="433">
        <v>312</v>
      </c>
      <c r="F690" s="434" t="s">
        <v>336</v>
      </c>
      <c r="G690" s="13"/>
      <c r="H690" s="21" t="s">
        <v>207</v>
      </c>
      <c r="I690" s="21" t="s">
        <v>449</v>
      </c>
      <c r="J690" s="647">
        <v>48764</v>
      </c>
      <c r="K690" s="12"/>
      <c r="L690" s="12"/>
      <c r="M690" s="19">
        <f t="shared" si="408"/>
        <v>48764</v>
      </c>
      <c r="N690" s="12">
        <f t="shared" si="409"/>
        <v>25805</v>
      </c>
      <c r="O690" s="12"/>
      <c r="P690" s="12"/>
      <c r="Q690" s="407">
        <v>25805</v>
      </c>
      <c r="R690" s="12">
        <f t="shared" si="410"/>
        <v>25805</v>
      </c>
      <c r="S690" s="12"/>
      <c r="T690" s="12"/>
      <c r="U690" s="407">
        <v>25805</v>
      </c>
      <c r="V690" s="19">
        <v>22959</v>
      </c>
      <c r="W690" s="12">
        <f t="shared" ref="W690:W696" si="411">SUM(X690:AA690)</f>
        <v>22959</v>
      </c>
      <c r="X690" s="19"/>
      <c r="Y690" s="19">
        <v>22959</v>
      </c>
      <c r="Z690" s="19"/>
      <c r="AA690" s="19"/>
      <c r="AB690" s="91" t="s">
        <v>1622</v>
      </c>
      <c r="AC690" s="380">
        <f t="shared" si="397"/>
        <v>0</v>
      </c>
      <c r="AJ690" s="8" t="s">
        <v>685</v>
      </c>
    </row>
    <row r="691" spans="1:36" s="8" customFormat="1" ht="65.25" customHeight="1">
      <c r="A691" s="430" t="s">
        <v>144</v>
      </c>
      <c r="B691" s="709" t="s">
        <v>337</v>
      </c>
      <c r="C691" s="708" t="s">
        <v>203</v>
      </c>
      <c r="D691" s="349" t="s">
        <v>338</v>
      </c>
      <c r="E691" s="433">
        <v>312</v>
      </c>
      <c r="F691" s="434" t="s">
        <v>339</v>
      </c>
      <c r="G691" s="21"/>
      <c r="H691" s="13" t="s">
        <v>44</v>
      </c>
      <c r="I691" s="21" t="s">
        <v>340</v>
      </c>
      <c r="J691" s="647">
        <v>244819</v>
      </c>
      <c r="K691" s="12"/>
      <c r="L691" s="12"/>
      <c r="M691" s="19">
        <f t="shared" si="408"/>
        <v>244819</v>
      </c>
      <c r="N691" s="12">
        <f t="shared" si="409"/>
        <v>137570</v>
      </c>
      <c r="O691" s="12"/>
      <c r="P691" s="12"/>
      <c r="Q691" s="407">
        <v>137570</v>
      </c>
      <c r="R691" s="12">
        <f t="shared" si="410"/>
        <v>175744</v>
      </c>
      <c r="S691" s="12"/>
      <c r="T691" s="12"/>
      <c r="U691" s="407">
        <v>175744</v>
      </c>
      <c r="V691" s="19">
        <v>107260</v>
      </c>
      <c r="W691" s="12">
        <f t="shared" si="411"/>
        <v>60000</v>
      </c>
      <c r="X691" s="19"/>
      <c r="Y691" s="19">
        <v>60000</v>
      </c>
      <c r="Z691" s="19"/>
      <c r="AA691" s="19"/>
      <c r="AB691" s="91" t="s">
        <v>1622</v>
      </c>
      <c r="AC691" s="380">
        <f t="shared" si="397"/>
        <v>0</v>
      </c>
      <c r="AJ691" s="8" t="s">
        <v>685</v>
      </c>
    </row>
    <row r="692" spans="1:36" s="8" customFormat="1" ht="99" customHeight="1">
      <c r="A692" s="430" t="s">
        <v>144</v>
      </c>
      <c r="B692" s="42" t="s">
        <v>341</v>
      </c>
      <c r="C692" s="708" t="s">
        <v>203</v>
      </c>
      <c r="D692" s="433" t="s">
        <v>342</v>
      </c>
      <c r="E692" s="433">
        <v>312</v>
      </c>
      <c r="F692" s="434" t="s">
        <v>343</v>
      </c>
      <c r="G692" s="13"/>
      <c r="H692" s="13" t="s">
        <v>207</v>
      </c>
      <c r="I692" s="13" t="s">
        <v>344</v>
      </c>
      <c r="J692" s="19">
        <v>55069</v>
      </c>
      <c r="K692" s="12"/>
      <c r="L692" s="12"/>
      <c r="M692" s="19">
        <f t="shared" si="408"/>
        <v>55069</v>
      </c>
      <c r="N692" s="12">
        <f t="shared" si="409"/>
        <v>13370</v>
      </c>
      <c r="O692" s="12"/>
      <c r="P692" s="12"/>
      <c r="Q692" s="12">
        <v>13370</v>
      </c>
      <c r="R692" s="12">
        <f t="shared" si="410"/>
        <v>31370</v>
      </c>
      <c r="S692" s="12"/>
      <c r="T692" s="12"/>
      <c r="U692" s="407">
        <v>31370</v>
      </c>
      <c r="V692" s="19">
        <v>23329</v>
      </c>
      <c r="W692" s="12">
        <f t="shared" si="411"/>
        <v>13000</v>
      </c>
      <c r="X692" s="19"/>
      <c r="Y692" s="19">
        <v>13000</v>
      </c>
      <c r="Z692" s="19"/>
      <c r="AA692" s="19"/>
      <c r="AB692" s="91" t="s">
        <v>1639</v>
      </c>
      <c r="AC692" s="380">
        <f t="shared" si="397"/>
        <v>0</v>
      </c>
      <c r="AJ692" s="8" t="s">
        <v>685</v>
      </c>
    </row>
    <row r="693" spans="1:36" s="8" customFormat="1" ht="77.25" customHeight="1">
      <c r="A693" s="430" t="s">
        <v>144</v>
      </c>
      <c r="B693" s="42" t="s">
        <v>345</v>
      </c>
      <c r="C693" s="708" t="s">
        <v>203</v>
      </c>
      <c r="D693" s="433">
        <v>8081032</v>
      </c>
      <c r="E693" s="433">
        <v>312</v>
      </c>
      <c r="F693" s="434" t="s">
        <v>346</v>
      </c>
      <c r="G693" s="13"/>
      <c r="H693" s="13" t="s">
        <v>207</v>
      </c>
      <c r="I693" s="13" t="s">
        <v>448</v>
      </c>
      <c r="J693" s="19">
        <v>66785</v>
      </c>
      <c r="K693" s="12"/>
      <c r="L693" s="12"/>
      <c r="M693" s="19">
        <f t="shared" si="408"/>
        <v>66785</v>
      </c>
      <c r="N693" s="12">
        <f t="shared" si="409"/>
        <v>12400</v>
      </c>
      <c r="O693" s="12"/>
      <c r="P693" s="12"/>
      <c r="Q693" s="407">
        <f>12000+400</f>
        <v>12400</v>
      </c>
      <c r="R693" s="12">
        <f t="shared" si="410"/>
        <v>36400</v>
      </c>
      <c r="S693" s="12"/>
      <c r="T693" s="12"/>
      <c r="U693" s="407">
        <v>36400</v>
      </c>
      <c r="V693" s="19">
        <v>30385</v>
      </c>
      <c r="W693" s="12">
        <f t="shared" si="411"/>
        <v>20000</v>
      </c>
      <c r="X693" s="12"/>
      <c r="Y693" s="12">
        <v>20000</v>
      </c>
      <c r="Z693" s="12"/>
      <c r="AA693" s="12"/>
      <c r="AB693" s="91" t="s">
        <v>1639</v>
      </c>
      <c r="AC693" s="380">
        <f t="shared" si="397"/>
        <v>0</v>
      </c>
      <c r="AJ693" s="8" t="s">
        <v>685</v>
      </c>
    </row>
    <row r="694" spans="1:36" s="8" customFormat="1" ht="83.45" customHeight="1">
      <c r="A694" s="430" t="s">
        <v>144</v>
      </c>
      <c r="B694" s="104" t="s">
        <v>347</v>
      </c>
      <c r="C694" s="708" t="s">
        <v>203</v>
      </c>
      <c r="D694" s="349" t="s">
        <v>348</v>
      </c>
      <c r="E694" s="13">
        <v>292</v>
      </c>
      <c r="F694" s="440" t="s">
        <v>296</v>
      </c>
      <c r="G694" s="98"/>
      <c r="H694" s="98" t="s">
        <v>207</v>
      </c>
      <c r="I694" s="13" t="s">
        <v>349</v>
      </c>
      <c r="J694" s="17">
        <v>88121</v>
      </c>
      <c r="K694" s="12"/>
      <c r="L694" s="12"/>
      <c r="M694" s="19">
        <f t="shared" si="408"/>
        <v>88121</v>
      </c>
      <c r="N694" s="12">
        <f t="shared" si="409"/>
        <v>47377</v>
      </c>
      <c r="O694" s="12"/>
      <c r="P694" s="12"/>
      <c r="Q694" s="407">
        <v>47377</v>
      </c>
      <c r="R694" s="12">
        <f t="shared" si="410"/>
        <v>63000</v>
      </c>
      <c r="S694" s="12"/>
      <c r="T694" s="12"/>
      <c r="U694" s="12">
        <v>63000</v>
      </c>
      <c r="V694" s="19">
        <v>13835</v>
      </c>
      <c r="W694" s="12">
        <f t="shared" si="411"/>
        <v>13835</v>
      </c>
      <c r="X694" s="12"/>
      <c r="Y694" s="12">
        <v>13835</v>
      </c>
      <c r="Z694" s="12"/>
      <c r="AA694" s="12"/>
      <c r="AB694" s="91" t="s">
        <v>1639</v>
      </c>
      <c r="AC694" s="380">
        <f t="shared" si="397"/>
        <v>0</v>
      </c>
      <c r="AJ694" s="8" t="s">
        <v>685</v>
      </c>
    </row>
    <row r="695" spans="1:36" s="8" customFormat="1" ht="69" customHeight="1">
      <c r="A695" s="430" t="s">
        <v>144</v>
      </c>
      <c r="B695" s="711" t="s">
        <v>350</v>
      </c>
      <c r="C695" s="708" t="s">
        <v>203</v>
      </c>
      <c r="D695" s="440">
        <v>7914410</v>
      </c>
      <c r="E695" s="13">
        <v>292</v>
      </c>
      <c r="F695" s="98" t="s">
        <v>206</v>
      </c>
      <c r="G695" s="98"/>
      <c r="H695" s="406" t="s">
        <v>244</v>
      </c>
      <c r="I695" s="406" t="s">
        <v>351</v>
      </c>
      <c r="J695" s="19">
        <v>309034</v>
      </c>
      <c r="K695" s="12"/>
      <c r="L695" s="12"/>
      <c r="M695" s="19">
        <f t="shared" si="408"/>
        <v>309034</v>
      </c>
      <c r="N695" s="12">
        <f t="shared" si="409"/>
        <v>206067</v>
      </c>
      <c r="O695" s="12"/>
      <c r="P695" s="12"/>
      <c r="Q695" s="92">
        <v>206067</v>
      </c>
      <c r="R695" s="12">
        <f t="shared" si="410"/>
        <v>237107</v>
      </c>
      <c r="S695" s="12"/>
      <c r="T695" s="12"/>
      <c r="U695" s="12">
        <v>237107</v>
      </c>
      <c r="V695" s="12">
        <v>46953</v>
      </c>
      <c r="W695" s="12">
        <f t="shared" si="411"/>
        <v>46953</v>
      </c>
      <c r="X695" s="12"/>
      <c r="Y695" s="12">
        <v>46953</v>
      </c>
      <c r="Z695" s="12"/>
      <c r="AA695" s="12"/>
      <c r="AB695" s="91" t="s">
        <v>1639</v>
      </c>
      <c r="AC695" s="380">
        <f t="shared" si="397"/>
        <v>0</v>
      </c>
      <c r="AJ695" s="8" t="s">
        <v>685</v>
      </c>
    </row>
    <row r="696" spans="1:36" s="8" customFormat="1" ht="63" customHeight="1">
      <c r="A696" s="430" t="s">
        <v>144</v>
      </c>
      <c r="B696" s="42" t="s">
        <v>352</v>
      </c>
      <c r="C696" s="708" t="s">
        <v>203</v>
      </c>
      <c r="D696" s="433">
        <v>8093131</v>
      </c>
      <c r="E696" s="433">
        <v>312</v>
      </c>
      <c r="F696" s="349" t="s">
        <v>206</v>
      </c>
      <c r="G696" s="13"/>
      <c r="H696" s="433" t="s">
        <v>354</v>
      </c>
      <c r="I696" s="13" t="s">
        <v>353</v>
      </c>
      <c r="J696" s="19">
        <v>2543</v>
      </c>
      <c r="K696" s="12"/>
      <c r="L696" s="12"/>
      <c r="M696" s="19">
        <f t="shared" si="408"/>
        <v>2543</v>
      </c>
      <c r="N696" s="12">
        <f t="shared" si="409"/>
        <v>131</v>
      </c>
      <c r="O696" s="12"/>
      <c r="P696" s="12"/>
      <c r="Q696" s="407">
        <v>131</v>
      </c>
      <c r="R696" s="12">
        <f t="shared" si="410"/>
        <v>131</v>
      </c>
      <c r="S696" s="12"/>
      <c r="T696" s="12"/>
      <c r="U696" s="407">
        <v>131</v>
      </c>
      <c r="V696" s="19">
        <v>2412</v>
      </c>
      <c r="W696" s="12">
        <f t="shared" si="411"/>
        <v>2412</v>
      </c>
      <c r="X696" s="12"/>
      <c r="Y696" s="12">
        <v>2412</v>
      </c>
      <c r="Z696" s="12"/>
      <c r="AA696" s="12"/>
      <c r="AB696" s="91" t="s">
        <v>1622</v>
      </c>
      <c r="AC696" s="380">
        <f t="shared" si="397"/>
        <v>0</v>
      </c>
      <c r="AJ696" s="8" t="s">
        <v>685</v>
      </c>
    </row>
    <row r="697" spans="1:36" s="10" customFormat="1" ht="24" customHeight="1">
      <c r="A697" s="398" t="s">
        <v>1306</v>
      </c>
      <c r="B697" s="413" t="s">
        <v>1307</v>
      </c>
      <c r="C697" s="708" t="s">
        <v>203</v>
      </c>
      <c r="D697" s="423"/>
      <c r="E697" s="423"/>
      <c r="F697" s="646"/>
      <c r="G697" s="328"/>
      <c r="H697" s="328"/>
      <c r="I697" s="328"/>
      <c r="J697" s="416"/>
      <c r="K697" s="416"/>
      <c r="L697" s="416"/>
      <c r="M697" s="416"/>
      <c r="N697" s="416"/>
      <c r="O697" s="416"/>
      <c r="P697" s="416"/>
      <c r="Q697" s="416"/>
      <c r="R697" s="416"/>
      <c r="S697" s="416"/>
      <c r="T697" s="416"/>
      <c r="U697" s="416"/>
      <c r="V697" s="416"/>
      <c r="W697" s="416"/>
      <c r="X697" s="416"/>
      <c r="Y697" s="416"/>
      <c r="Z697" s="416"/>
      <c r="AA697" s="416"/>
      <c r="AB697" s="332"/>
      <c r="AC697" s="380">
        <f t="shared" si="397"/>
        <v>0</v>
      </c>
    </row>
    <row r="698" spans="1:36" s="8" customFormat="1" ht="39.75" customHeight="1">
      <c r="A698" s="426" t="s">
        <v>1336</v>
      </c>
      <c r="B698" s="543" t="s">
        <v>234</v>
      </c>
      <c r="C698" s="543" t="s">
        <v>234</v>
      </c>
      <c r="D698" s="433"/>
      <c r="E698" s="433"/>
      <c r="F698" s="349"/>
      <c r="G698" s="13"/>
      <c r="H698" s="13"/>
      <c r="I698" s="13"/>
      <c r="J698" s="548">
        <f t="shared" ref="J698:AA698" si="412">+J699</f>
        <v>116357.782576</v>
      </c>
      <c r="K698" s="548">
        <f t="shared" si="412"/>
        <v>0</v>
      </c>
      <c r="L698" s="548">
        <f t="shared" si="412"/>
        <v>0</v>
      </c>
      <c r="M698" s="548">
        <f t="shared" si="412"/>
        <v>116357.782576</v>
      </c>
      <c r="N698" s="548">
        <f t="shared" si="412"/>
        <v>40599.014456999997</v>
      </c>
      <c r="O698" s="548">
        <f t="shared" si="412"/>
        <v>0</v>
      </c>
      <c r="P698" s="548">
        <f t="shared" si="412"/>
        <v>0</v>
      </c>
      <c r="Q698" s="548">
        <f t="shared" si="412"/>
        <v>40599.014456999997</v>
      </c>
      <c r="R698" s="548">
        <f t="shared" si="412"/>
        <v>59286.723280999999</v>
      </c>
      <c r="S698" s="548">
        <f t="shared" si="412"/>
        <v>0</v>
      </c>
      <c r="T698" s="548">
        <f t="shared" si="412"/>
        <v>0</v>
      </c>
      <c r="U698" s="548">
        <f t="shared" si="412"/>
        <v>59286.723280999999</v>
      </c>
      <c r="V698" s="548">
        <f t="shared" si="412"/>
        <v>44889</v>
      </c>
      <c r="W698" s="548">
        <f t="shared" si="412"/>
        <v>32000</v>
      </c>
      <c r="X698" s="548">
        <f t="shared" si="412"/>
        <v>15000</v>
      </c>
      <c r="Y698" s="548">
        <f t="shared" si="412"/>
        <v>17000</v>
      </c>
      <c r="Z698" s="548">
        <f t="shared" si="412"/>
        <v>0</v>
      </c>
      <c r="AA698" s="548">
        <f t="shared" si="412"/>
        <v>0</v>
      </c>
      <c r="AB698" s="392"/>
      <c r="AC698" s="380">
        <f t="shared" si="397"/>
        <v>0</v>
      </c>
    </row>
    <row r="699" spans="1:36" s="417" customFormat="1" ht="26.25" customHeight="1">
      <c r="A699" s="393" t="s">
        <v>1322</v>
      </c>
      <c r="B699" s="394" t="s">
        <v>38</v>
      </c>
      <c r="C699" s="544" t="s">
        <v>234</v>
      </c>
      <c r="D699" s="421"/>
      <c r="E699" s="421"/>
      <c r="F699" s="421"/>
      <c r="G699" s="421"/>
      <c r="H699" s="421"/>
      <c r="I699" s="421"/>
      <c r="J699" s="453">
        <f t="shared" ref="J699:AA699" si="413">J701+J706+J700</f>
        <v>116357.782576</v>
      </c>
      <c r="K699" s="453">
        <f t="shared" si="413"/>
        <v>0</v>
      </c>
      <c r="L699" s="453">
        <f t="shared" si="413"/>
        <v>0</v>
      </c>
      <c r="M699" s="453">
        <f t="shared" si="413"/>
        <v>116357.782576</v>
      </c>
      <c r="N699" s="453">
        <f t="shared" si="413"/>
        <v>40599.014456999997</v>
      </c>
      <c r="O699" s="453">
        <f t="shared" si="413"/>
        <v>0</v>
      </c>
      <c r="P699" s="453">
        <f t="shared" si="413"/>
        <v>0</v>
      </c>
      <c r="Q699" s="453">
        <f t="shared" si="413"/>
        <v>40599.014456999997</v>
      </c>
      <c r="R699" s="453">
        <f t="shared" si="413"/>
        <v>59286.723280999999</v>
      </c>
      <c r="S699" s="453">
        <f t="shared" si="413"/>
        <v>0</v>
      </c>
      <c r="T699" s="453">
        <f t="shared" si="413"/>
        <v>0</v>
      </c>
      <c r="U699" s="453">
        <f t="shared" si="413"/>
        <v>59286.723280999999</v>
      </c>
      <c r="V699" s="453">
        <f t="shared" si="413"/>
        <v>44889</v>
      </c>
      <c r="W699" s="453">
        <f t="shared" si="413"/>
        <v>32000</v>
      </c>
      <c r="X699" s="453">
        <f t="shared" si="413"/>
        <v>15000</v>
      </c>
      <c r="Y699" s="453">
        <f t="shared" si="413"/>
        <v>17000</v>
      </c>
      <c r="Z699" s="453">
        <f t="shared" si="413"/>
        <v>0</v>
      </c>
      <c r="AA699" s="453">
        <f t="shared" si="413"/>
        <v>0</v>
      </c>
      <c r="AB699" s="454"/>
      <c r="AC699" s="380">
        <f t="shared" si="397"/>
        <v>0</v>
      </c>
    </row>
    <row r="700" spans="1:36" s="10" customFormat="1" ht="39.75" customHeight="1">
      <c r="A700" s="332" t="s">
        <v>39</v>
      </c>
      <c r="B700" s="326" t="s">
        <v>1254</v>
      </c>
      <c r="C700" s="544" t="s">
        <v>234</v>
      </c>
      <c r="D700" s="554"/>
      <c r="E700" s="332"/>
      <c r="F700" s="471"/>
      <c r="G700" s="471"/>
      <c r="H700" s="332"/>
      <c r="I700" s="471"/>
      <c r="J700" s="331"/>
      <c r="K700" s="331"/>
      <c r="L700" s="331"/>
      <c r="M700" s="331"/>
      <c r="N700" s="331"/>
      <c r="O700" s="331"/>
      <c r="P700" s="331"/>
      <c r="Q700" s="331"/>
      <c r="R700" s="331"/>
      <c r="S700" s="331"/>
      <c r="T700" s="331"/>
      <c r="U700" s="331"/>
      <c r="V700" s="331"/>
      <c r="W700" s="331"/>
      <c r="X700" s="331"/>
      <c r="Y700" s="331"/>
      <c r="Z700" s="331"/>
      <c r="AA700" s="331"/>
      <c r="AB700" s="332"/>
      <c r="AC700" s="380">
        <f t="shared" si="397"/>
        <v>0</v>
      </c>
    </row>
    <row r="701" spans="1:36" s="417" customFormat="1" ht="48" customHeight="1">
      <c r="A701" s="397" t="s">
        <v>467</v>
      </c>
      <c r="B701" s="400" t="s">
        <v>183</v>
      </c>
      <c r="C701" s="544" t="s">
        <v>234</v>
      </c>
      <c r="D701" s="423"/>
      <c r="E701" s="423"/>
      <c r="F701" s="328"/>
      <c r="G701" s="328"/>
      <c r="H701" s="328"/>
      <c r="I701" s="328"/>
      <c r="J701" s="436">
        <f>SUM(J702:J705)</f>
        <v>116357.782576</v>
      </c>
      <c r="K701" s="436">
        <f t="shared" ref="K701:AA701" si="414">SUM(K702:K705)</f>
        <v>0</v>
      </c>
      <c r="L701" s="436">
        <f t="shared" si="414"/>
        <v>0</v>
      </c>
      <c r="M701" s="436">
        <f t="shared" si="414"/>
        <v>116357.782576</v>
      </c>
      <c r="N701" s="436">
        <f t="shared" si="414"/>
        <v>40599.014456999997</v>
      </c>
      <c r="O701" s="436">
        <f t="shared" si="414"/>
        <v>0</v>
      </c>
      <c r="P701" s="436">
        <f t="shared" si="414"/>
        <v>0</v>
      </c>
      <c r="Q701" s="436">
        <f t="shared" si="414"/>
        <v>40599.014456999997</v>
      </c>
      <c r="R701" s="436">
        <f t="shared" si="414"/>
        <v>59286.723280999999</v>
      </c>
      <c r="S701" s="436">
        <f t="shared" si="414"/>
        <v>0</v>
      </c>
      <c r="T701" s="436">
        <f t="shared" si="414"/>
        <v>0</v>
      </c>
      <c r="U701" s="436">
        <f t="shared" si="414"/>
        <v>59286.723280999999</v>
      </c>
      <c r="V701" s="436">
        <f t="shared" si="414"/>
        <v>44889</v>
      </c>
      <c r="W701" s="436">
        <f>SUM(W702:W705)</f>
        <v>32000</v>
      </c>
      <c r="X701" s="436">
        <f t="shared" si="414"/>
        <v>15000</v>
      </c>
      <c r="Y701" s="436">
        <f t="shared" si="414"/>
        <v>17000</v>
      </c>
      <c r="Z701" s="436">
        <f t="shared" si="414"/>
        <v>0</v>
      </c>
      <c r="AA701" s="436">
        <f t="shared" si="414"/>
        <v>0</v>
      </c>
      <c r="AB701" s="437"/>
      <c r="AC701" s="380">
        <f t="shared" si="397"/>
        <v>0</v>
      </c>
    </row>
    <row r="702" spans="1:36" s="7" customFormat="1" ht="61.5" customHeight="1">
      <c r="A702" s="26" t="s">
        <v>144</v>
      </c>
      <c r="B702" s="27" t="s">
        <v>355</v>
      </c>
      <c r="C702" s="544" t="s">
        <v>234</v>
      </c>
      <c r="D702" s="13">
        <v>7925813</v>
      </c>
      <c r="E702" s="313">
        <v>292</v>
      </c>
      <c r="F702" s="13" t="s">
        <v>356</v>
      </c>
      <c r="G702" s="545" t="s">
        <v>357</v>
      </c>
      <c r="H702" s="13" t="s">
        <v>244</v>
      </c>
      <c r="I702" s="13" t="s">
        <v>358</v>
      </c>
      <c r="J702" s="113">
        <v>25338.829549999999</v>
      </c>
      <c r="K702" s="113"/>
      <c r="L702" s="113"/>
      <c r="M702" s="113">
        <v>25338.829549999999</v>
      </c>
      <c r="N702" s="110">
        <f>O702+P702+Q702</f>
        <v>16503.446408</v>
      </c>
      <c r="O702" s="110"/>
      <c r="P702" s="110"/>
      <c r="Q702" s="110">
        <v>16503.446408</v>
      </c>
      <c r="R702" s="110">
        <f>S702+T702+U702</f>
        <v>18332.258000000002</v>
      </c>
      <c r="S702" s="110"/>
      <c r="T702" s="110"/>
      <c r="U702" s="110">
        <v>18332.258000000002</v>
      </c>
      <c r="V702" s="407">
        <v>2000</v>
      </c>
      <c r="W702" s="110">
        <f>SUM(X702:AA702)</f>
        <v>2000</v>
      </c>
      <c r="X702" s="110"/>
      <c r="Y702" s="110">
        <v>2000</v>
      </c>
      <c r="Z702" s="110"/>
      <c r="AA702" s="110"/>
      <c r="AB702" s="108" t="s">
        <v>1622</v>
      </c>
      <c r="AC702" s="380">
        <f t="shared" si="397"/>
        <v>0</v>
      </c>
      <c r="AJ702" s="7" t="s">
        <v>685</v>
      </c>
    </row>
    <row r="703" spans="1:36" s="7" customFormat="1" ht="67.5" customHeight="1">
      <c r="A703" s="26" t="s">
        <v>144</v>
      </c>
      <c r="B703" s="27" t="s">
        <v>359</v>
      </c>
      <c r="C703" s="544" t="s">
        <v>234</v>
      </c>
      <c r="D703" s="13">
        <v>7923439</v>
      </c>
      <c r="E703" s="313">
        <v>292</v>
      </c>
      <c r="F703" s="13" t="s">
        <v>356</v>
      </c>
      <c r="G703" s="545" t="s">
        <v>360</v>
      </c>
      <c r="H703" s="13" t="s">
        <v>244</v>
      </c>
      <c r="I703" s="13" t="s">
        <v>361</v>
      </c>
      <c r="J703" s="113">
        <v>25519</v>
      </c>
      <c r="K703" s="113"/>
      <c r="L703" s="113"/>
      <c r="M703" s="113">
        <v>25519</v>
      </c>
      <c r="N703" s="110">
        <f>O703+P703+Q703</f>
        <v>10757.975091</v>
      </c>
      <c r="O703" s="110"/>
      <c r="P703" s="110"/>
      <c r="Q703" s="110">
        <v>10757.975091</v>
      </c>
      <c r="R703" s="110">
        <f>S703+T703+U703</f>
        <v>13515</v>
      </c>
      <c r="S703" s="110"/>
      <c r="T703" s="110"/>
      <c r="U703" s="110">
        <v>13515</v>
      </c>
      <c r="V703" s="407">
        <v>7000</v>
      </c>
      <c r="W703" s="110">
        <f t="shared" ref="W703:W705" si="415">SUM(X703:AA703)</f>
        <v>7000</v>
      </c>
      <c r="X703" s="110"/>
      <c r="Y703" s="110">
        <v>7000</v>
      </c>
      <c r="Z703" s="110"/>
      <c r="AA703" s="110"/>
      <c r="AB703" s="108" t="s">
        <v>1622</v>
      </c>
      <c r="AC703" s="380">
        <f t="shared" si="397"/>
        <v>0</v>
      </c>
      <c r="AJ703" s="7" t="s">
        <v>685</v>
      </c>
    </row>
    <row r="704" spans="1:36" s="7" customFormat="1" ht="53.25" customHeight="1">
      <c r="A704" s="26" t="s">
        <v>144</v>
      </c>
      <c r="B704" s="27" t="s">
        <v>362</v>
      </c>
      <c r="C704" s="544" t="s">
        <v>234</v>
      </c>
      <c r="D704" s="13">
        <v>7935737</v>
      </c>
      <c r="E704" s="313">
        <v>292</v>
      </c>
      <c r="F704" s="13" t="s">
        <v>265</v>
      </c>
      <c r="G704" s="545" t="s">
        <v>363</v>
      </c>
      <c r="H704" s="13" t="s">
        <v>136</v>
      </c>
      <c r="I704" s="13" t="s">
        <v>364</v>
      </c>
      <c r="J704" s="113">
        <v>45000</v>
      </c>
      <c r="K704" s="113"/>
      <c r="L704" s="113"/>
      <c r="M704" s="113">
        <v>45000</v>
      </c>
      <c r="N704" s="110">
        <f>O704+P704+Q704</f>
        <v>5711.5249960000001</v>
      </c>
      <c r="O704" s="110"/>
      <c r="P704" s="110"/>
      <c r="Q704" s="110">
        <v>5711.5249960000001</v>
      </c>
      <c r="R704" s="110">
        <f>S704+T704+U704</f>
        <v>17111</v>
      </c>
      <c r="S704" s="110"/>
      <c r="T704" s="110"/>
      <c r="U704" s="110">
        <v>17111</v>
      </c>
      <c r="V704" s="407">
        <f>20899+6990</f>
        <v>27889</v>
      </c>
      <c r="W704" s="110">
        <f t="shared" si="415"/>
        <v>15000</v>
      </c>
      <c r="X704" s="110">
        <v>15000</v>
      </c>
      <c r="Y704" s="110"/>
      <c r="Z704" s="110"/>
      <c r="AA704" s="110"/>
      <c r="AB704" s="108" t="s">
        <v>1639</v>
      </c>
      <c r="AC704" s="380">
        <f t="shared" si="397"/>
        <v>0</v>
      </c>
      <c r="AJ704" s="7" t="s">
        <v>685</v>
      </c>
    </row>
    <row r="705" spans="1:36" s="7" customFormat="1" ht="65.25" customHeight="1">
      <c r="A705" s="26" t="s">
        <v>144</v>
      </c>
      <c r="B705" s="27" t="s">
        <v>365</v>
      </c>
      <c r="C705" s="544" t="s">
        <v>234</v>
      </c>
      <c r="D705" s="13">
        <v>7898512</v>
      </c>
      <c r="E705" s="313">
        <v>292</v>
      </c>
      <c r="F705" s="13" t="s">
        <v>366</v>
      </c>
      <c r="G705" s="108" t="s">
        <v>367</v>
      </c>
      <c r="H705" s="13" t="s">
        <v>244</v>
      </c>
      <c r="I705" s="13" t="s">
        <v>368</v>
      </c>
      <c r="J705" s="113">
        <v>20499.953025999999</v>
      </c>
      <c r="K705" s="113"/>
      <c r="L705" s="113"/>
      <c r="M705" s="113">
        <v>20499.953025999999</v>
      </c>
      <c r="N705" s="110">
        <f>O705+P705+Q705</f>
        <v>7626.0679620000001</v>
      </c>
      <c r="O705" s="110"/>
      <c r="P705" s="110"/>
      <c r="Q705" s="110">
        <v>7626.0679620000001</v>
      </c>
      <c r="R705" s="110">
        <f>S705+T705+U705</f>
        <v>10328.465281000001</v>
      </c>
      <c r="S705" s="110"/>
      <c r="T705" s="110"/>
      <c r="U705" s="110">
        <v>10328.465281000001</v>
      </c>
      <c r="V705" s="407">
        <v>8000</v>
      </c>
      <c r="W705" s="110">
        <f t="shared" si="415"/>
        <v>8000</v>
      </c>
      <c r="X705" s="110"/>
      <c r="Y705" s="110">
        <v>8000</v>
      </c>
      <c r="Z705" s="110"/>
      <c r="AA705" s="110"/>
      <c r="AB705" s="108" t="s">
        <v>1639</v>
      </c>
      <c r="AC705" s="380">
        <f t="shared" si="397"/>
        <v>0</v>
      </c>
      <c r="AJ705" s="7" t="s">
        <v>685</v>
      </c>
    </row>
    <row r="706" spans="1:36" s="417" customFormat="1" ht="28.5" customHeight="1">
      <c r="A706" s="447" t="s">
        <v>1306</v>
      </c>
      <c r="B706" s="413" t="s">
        <v>1307</v>
      </c>
      <c r="C706" s="544" t="s">
        <v>234</v>
      </c>
      <c r="D706" s="328"/>
      <c r="E706" s="327"/>
      <c r="F706" s="328"/>
      <c r="G706" s="712"/>
      <c r="H706" s="328"/>
      <c r="I706" s="328"/>
      <c r="J706" s="713"/>
      <c r="K706" s="713"/>
      <c r="L706" s="713"/>
      <c r="M706" s="713"/>
      <c r="N706" s="713"/>
      <c r="O706" s="713"/>
      <c r="P706" s="713"/>
      <c r="Q706" s="713"/>
      <c r="R706" s="713"/>
      <c r="S706" s="713"/>
      <c r="T706" s="713"/>
      <c r="U706" s="713"/>
      <c r="V706" s="713"/>
      <c r="W706" s="713"/>
      <c r="X706" s="713"/>
      <c r="Y706" s="713"/>
      <c r="Z706" s="713"/>
      <c r="AA706" s="713"/>
      <c r="AB706" s="712"/>
      <c r="AC706" s="380">
        <f t="shared" si="397"/>
        <v>0</v>
      </c>
    </row>
    <row r="707" spans="1:36" s="7" customFormat="1" ht="37.5" customHeight="1">
      <c r="A707" s="648">
        <v>13</v>
      </c>
      <c r="B707" s="524" t="s">
        <v>235</v>
      </c>
      <c r="C707" s="524" t="s">
        <v>235</v>
      </c>
      <c r="D707" s="13"/>
      <c r="E707" s="313"/>
      <c r="F707" s="13"/>
      <c r="G707" s="108"/>
      <c r="H707" s="13"/>
      <c r="I707" s="13"/>
      <c r="J707" s="653">
        <f>J708</f>
        <v>80488</v>
      </c>
      <c r="K707" s="653">
        <f t="shared" ref="K707:AA707" si="416">K708</f>
        <v>0</v>
      </c>
      <c r="L707" s="653">
        <f t="shared" si="416"/>
        <v>0</v>
      </c>
      <c r="M707" s="653">
        <f t="shared" si="416"/>
        <v>80488</v>
      </c>
      <c r="N707" s="653">
        <f t="shared" si="416"/>
        <v>52017.479800000001</v>
      </c>
      <c r="O707" s="653">
        <f t="shared" si="416"/>
        <v>0</v>
      </c>
      <c r="P707" s="653">
        <f t="shared" si="416"/>
        <v>0</v>
      </c>
      <c r="Q707" s="653">
        <f t="shared" si="416"/>
        <v>52017.479800000001</v>
      </c>
      <c r="R707" s="653">
        <f t="shared" si="416"/>
        <v>52084.479800000001</v>
      </c>
      <c r="S707" s="653">
        <f t="shared" si="416"/>
        <v>0</v>
      </c>
      <c r="T707" s="653">
        <f t="shared" si="416"/>
        <v>0</v>
      </c>
      <c r="U707" s="653">
        <f t="shared" si="416"/>
        <v>52084.479800000001</v>
      </c>
      <c r="V707" s="653">
        <f t="shared" si="416"/>
        <v>35067</v>
      </c>
      <c r="W707" s="653">
        <f t="shared" si="416"/>
        <v>18067</v>
      </c>
      <c r="X707" s="653">
        <f t="shared" si="416"/>
        <v>18000</v>
      </c>
      <c r="Y707" s="653">
        <f t="shared" si="416"/>
        <v>67</v>
      </c>
      <c r="Z707" s="653">
        <f t="shared" si="416"/>
        <v>0</v>
      </c>
      <c r="AA707" s="653">
        <f t="shared" si="416"/>
        <v>0</v>
      </c>
      <c r="AB707" s="307"/>
      <c r="AC707" s="380">
        <f t="shared" si="397"/>
        <v>0</v>
      </c>
    </row>
    <row r="708" spans="1:36" s="417" customFormat="1" ht="37.5" customHeight="1">
      <c r="A708" s="714" t="s">
        <v>1323</v>
      </c>
      <c r="B708" s="715" t="s">
        <v>38</v>
      </c>
      <c r="C708" s="111" t="s">
        <v>235</v>
      </c>
      <c r="D708" s="328"/>
      <c r="E708" s="327"/>
      <c r="F708" s="328"/>
      <c r="G708" s="712"/>
      <c r="H708" s="328"/>
      <c r="I708" s="328"/>
      <c r="J708" s="716">
        <f>+J709+J712+J715</f>
        <v>80488</v>
      </c>
      <c r="K708" s="716">
        <f t="shared" ref="K708:AA708" si="417">+K709+K712+K715</f>
        <v>0</v>
      </c>
      <c r="L708" s="716">
        <f t="shared" si="417"/>
        <v>0</v>
      </c>
      <c r="M708" s="716">
        <f t="shared" si="417"/>
        <v>80488</v>
      </c>
      <c r="N708" s="716">
        <f t="shared" si="417"/>
        <v>52017.479800000001</v>
      </c>
      <c r="O708" s="716">
        <f t="shared" si="417"/>
        <v>0</v>
      </c>
      <c r="P708" s="716">
        <f t="shared" si="417"/>
        <v>0</v>
      </c>
      <c r="Q708" s="716">
        <f t="shared" si="417"/>
        <v>52017.479800000001</v>
      </c>
      <c r="R708" s="716">
        <f t="shared" si="417"/>
        <v>52084.479800000001</v>
      </c>
      <c r="S708" s="716">
        <f t="shared" si="417"/>
        <v>0</v>
      </c>
      <c r="T708" s="716">
        <f t="shared" si="417"/>
        <v>0</v>
      </c>
      <c r="U708" s="716">
        <f t="shared" si="417"/>
        <v>52084.479800000001</v>
      </c>
      <c r="V708" s="716">
        <f t="shared" si="417"/>
        <v>35067</v>
      </c>
      <c r="W708" s="716">
        <f t="shared" si="417"/>
        <v>18067</v>
      </c>
      <c r="X708" s="716">
        <f t="shared" si="417"/>
        <v>18000</v>
      </c>
      <c r="Y708" s="716">
        <f t="shared" si="417"/>
        <v>67</v>
      </c>
      <c r="Z708" s="716">
        <f t="shared" si="417"/>
        <v>0</v>
      </c>
      <c r="AA708" s="716">
        <f t="shared" si="417"/>
        <v>0</v>
      </c>
      <c r="AB708" s="717"/>
      <c r="AC708" s="380">
        <f t="shared" si="397"/>
        <v>0</v>
      </c>
    </row>
    <row r="709" spans="1:36" s="10" customFormat="1" ht="39.75" customHeight="1">
      <c r="A709" s="332" t="s">
        <v>39</v>
      </c>
      <c r="B709" s="326" t="s">
        <v>1254</v>
      </c>
      <c r="C709" s="111" t="s">
        <v>235</v>
      </c>
      <c r="D709" s="554"/>
      <c r="E709" s="332"/>
      <c r="F709" s="471"/>
      <c r="G709" s="471"/>
      <c r="H709" s="332"/>
      <c r="I709" s="471"/>
      <c r="J709" s="331">
        <f t="shared" ref="J709:AB709" si="418">+SUM(J710:J711)</f>
        <v>21934</v>
      </c>
      <c r="K709" s="331">
        <f t="shared" si="418"/>
        <v>0</v>
      </c>
      <c r="L709" s="331">
        <f t="shared" si="418"/>
        <v>0</v>
      </c>
      <c r="M709" s="331">
        <f t="shared" si="418"/>
        <v>21934</v>
      </c>
      <c r="N709" s="331">
        <f t="shared" si="418"/>
        <v>19646</v>
      </c>
      <c r="O709" s="331">
        <f t="shared" si="418"/>
        <v>0</v>
      </c>
      <c r="P709" s="331">
        <f t="shared" si="418"/>
        <v>0</v>
      </c>
      <c r="Q709" s="331">
        <f t="shared" si="418"/>
        <v>19646</v>
      </c>
      <c r="R709" s="331">
        <f t="shared" si="418"/>
        <v>19713</v>
      </c>
      <c r="S709" s="331">
        <f t="shared" si="418"/>
        <v>0</v>
      </c>
      <c r="T709" s="331">
        <f t="shared" si="418"/>
        <v>0</v>
      </c>
      <c r="U709" s="331">
        <f t="shared" si="418"/>
        <v>19713</v>
      </c>
      <c r="V709" s="331">
        <f t="shared" si="418"/>
        <v>67</v>
      </c>
      <c r="W709" s="331">
        <f>+SUM(W710:W711)</f>
        <v>67</v>
      </c>
      <c r="X709" s="331">
        <f t="shared" si="418"/>
        <v>0</v>
      </c>
      <c r="Y709" s="331">
        <f t="shared" si="418"/>
        <v>67</v>
      </c>
      <c r="Z709" s="331">
        <f t="shared" si="418"/>
        <v>0</v>
      </c>
      <c r="AA709" s="331">
        <f t="shared" si="418"/>
        <v>0</v>
      </c>
      <c r="AB709" s="332">
        <f t="shared" si="418"/>
        <v>0</v>
      </c>
      <c r="AC709" s="380">
        <f t="shared" si="397"/>
        <v>0</v>
      </c>
    </row>
    <row r="710" spans="1:36" s="8" customFormat="1" ht="75">
      <c r="A710" s="430" t="s">
        <v>144</v>
      </c>
      <c r="B710" s="718" t="s">
        <v>481</v>
      </c>
      <c r="C710" s="111" t="s">
        <v>235</v>
      </c>
      <c r="D710" s="13">
        <v>7875758</v>
      </c>
      <c r="E710" s="697">
        <v>292</v>
      </c>
      <c r="F710" s="316" t="s">
        <v>236</v>
      </c>
      <c r="G710" s="11" t="s">
        <v>186</v>
      </c>
      <c r="H710" s="98" t="s">
        <v>476</v>
      </c>
      <c r="I710" s="21" t="s">
        <v>482</v>
      </c>
      <c r="J710" s="12">
        <f>K710+L710+M710</f>
        <v>14288</v>
      </c>
      <c r="K710" s="14"/>
      <c r="L710" s="14"/>
      <c r="M710" s="44">
        <v>14288</v>
      </c>
      <c r="N710" s="407">
        <f>O710+P710+Q710</f>
        <v>12798</v>
      </c>
      <c r="O710" s="14"/>
      <c r="P710" s="14"/>
      <c r="Q710" s="44">
        <f>12828-30</f>
        <v>12798</v>
      </c>
      <c r="R710" s="407">
        <f>S710+T710+U710</f>
        <v>12828</v>
      </c>
      <c r="S710" s="14"/>
      <c r="T710" s="14"/>
      <c r="U710" s="44">
        <v>12828</v>
      </c>
      <c r="V710" s="44">
        <v>30</v>
      </c>
      <c r="W710" s="44">
        <f>SUM(X710:AA710)</f>
        <v>30</v>
      </c>
      <c r="X710" s="44"/>
      <c r="Y710" s="44">
        <v>30</v>
      </c>
      <c r="Z710" s="44"/>
      <c r="AA710" s="44"/>
      <c r="AB710" s="408" t="s">
        <v>1308</v>
      </c>
      <c r="AC710" s="380">
        <f t="shared" si="397"/>
        <v>0</v>
      </c>
      <c r="AJ710" s="555" t="s">
        <v>1308</v>
      </c>
    </row>
    <row r="711" spans="1:36" s="8" customFormat="1" ht="75">
      <c r="A711" s="430" t="s">
        <v>144</v>
      </c>
      <c r="B711" s="718" t="s">
        <v>483</v>
      </c>
      <c r="C711" s="111" t="s">
        <v>235</v>
      </c>
      <c r="D711" s="13">
        <v>7963097</v>
      </c>
      <c r="E711" s="697">
        <v>292</v>
      </c>
      <c r="F711" s="316" t="s">
        <v>236</v>
      </c>
      <c r="G711" s="11" t="s">
        <v>186</v>
      </c>
      <c r="H711" s="98" t="s">
        <v>476</v>
      </c>
      <c r="I711" s="21" t="s">
        <v>484</v>
      </c>
      <c r="J711" s="12">
        <f>K711+L711+M711</f>
        <v>7646</v>
      </c>
      <c r="K711" s="14"/>
      <c r="L711" s="14"/>
      <c r="M711" s="44">
        <v>7646</v>
      </c>
      <c r="N711" s="407">
        <f>O711+P711+Q711</f>
        <v>6848</v>
      </c>
      <c r="O711" s="14"/>
      <c r="P711" s="14"/>
      <c r="Q711" s="44">
        <f>100+1990+4795-37</f>
        <v>6848</v>
      </c>
      <c r="R711" s="407">
        <f>S711+T711+U711</f>
        <v>6885</v>
      </c>
      <c r="S711" s="14"/>
      <c r="T711" s="14"/>
      <c r="U711" s="44">
        <f>100+1990+4795</f>
        <v>6885</v>
      </c>
      <c r="V711" s="44">
        <v>37</v>
      </c>
      <c r="W711" s="44">
        <f>SUM(X711:AA711)</f>
        <v>37</v>
      </c>
      <c r="X711" s="44"/>
      <c r="Y711" s="44">
        <v>37</v>
      </c>
      <c r="Z711" s="44"/>
      <c r="AA711" s="44"/>
      <c r="AB711" s="408" t="s">
        <v>1308</v>
      </c>
      <c r="AC711" s="380">
        <f t="shared" si="397"/>
        <v>0</v>
      </c>
      <c r="AJ711" s="555" t="s">
        <v>1308</v>
      </c>
    </row>
    <row r="712" spans="1:36" s="417" customFormat="1" ht="54" customHeight="1">
      <c r="A712" s="397" t="s">
        <v>467</v>
      </c>
      <c r="B712" s="400" t="s">
        <v>183</v>
      </c>
      <c r="C712" s="111" t="s">
        <v>235</v>
      </c>
      <c r="D712" s="423"/>
      <c r="E712" s="423"/>
      <c r="F712" s="328"/>
      <c r="G712" s="328"/>
      <c r="H712" s="328"/>
      <c r="I712" s="328"/>
      <c r="J712" s="436">
        <f t="shared" ref="J712:AA712" si="419">SUM(J713:J714)</f>
        <v>58554</v>
      </c>
      <c r="K712" s="436">
        <f t="shared" si="419"/>
        <v>0</v>
      </c>
      <c r="L712" s="436">
        <f t="shared" si="419"/>
        <v>0</v>
      </c>
      <c r="M712" s="436">
        <f t="shared" si="419"/>
        <v>58554</v>
      </c>
      <c r="N712" s="436">
        <f t="shared" si="419"/>
        <v>32371.479800000001</v>
      </c>
      <c r="O712" s="436">
        <f t="shared" si="419"/>
        <v>0</v>
      </c>
      <c r="P712" s="436">
        <f t="shared" si="419"/>
        <v>0</v>
      </c>
      <c r="Q712" s="436">
        <f t="shared" si="419"/>
        <v>32371.479800000001</v>
      </c>
      <c r="R712" s="436">
        <f t="shared" si="419"/>
        <v>32371.479800000001</v>
      </c>
      <c r="S712" s="436">
        <f t="shared" si="419"/>
        <v>0</v>
      </c>
      <c r="T712" s="436">
        <f t="shared" si="419"/>
        <v>0</v>
      </c>
      <c r="U712" s="436">
        <f t="shared" si="419"/>
        <v>32371.479800000001</v>
      </c>
      <c r="V712" s="436">
        <f t="shared" si="419"/>
        <v>35000</v>
      </c>
      <c r="W712" s="436">
        <f>SUM(W713:W714)</f>
        <v>18000</v>
      </c>
      <c r="X712" s="436">
        <f t="shared" si="419"/>
        <v>18000</v>
      </c>
      <c r="Y712" s="436">
        <f t="shared" si="419"/>
        <v>0</v>
      </c>
      <c r="Z712" s="436">
        <f t="shared" si="419"/>
        <v>0</v>
      </c>
      <c r="AA712" s="436">
        <f t="shared" si="419"/>
        <v>0</v>
      </c>
      <c r="AB712" s="436"/>
      <c r="AC712" s="380">
        <f t="shared" si="397"/>
        <v>0</v>
      </c>
    </row>
    <row r="713" spans="1:36" s="8" customFormat="1" ht="91.5" customHeight="1">
      <c r="A713" s="430" t="s">
        <v>144</v>
      </c>
      <c r="B713" s="25" t="s">
        <v>369</v>
      </c>
      <c r="C713" s="111" t="s">
        <v>235</v>
      </c>
      <c r="D713" s="13">
        <v>7910453</v>
      </c>
      <c r="E713" s="697">
        <v>292</v>
      </c>
      <c r="F713" s="316" t="s">
        <v>236</v>
      </c>
      <c r="G713" s="11" t="s">
        <v>186</v>
      </c>
      <c r="H713" s="316" t="s">
        <v>370</v>
      </c>
      <c r="I713" s="719" t="s">
        <v>371</v>
      </c>
      <c r="J713" s="12">
        <f>K713+L713+M713</f>
        <v>35559</v>
      </c>
      <c r="K713" s="14"/>
      <c r="L713" s="14"/>
      <c r="M713" s="446">
        <v>35559</v>
      </c>
      <c r="N713" s="407">
        <f>O713+P713+Q713</f>
        <v>19343.479800000001</v>
      </c>
      <c r="O713" s="14"/>
      <c r="P713" s="14"/>
      <c r="Q713" s="407">
        <f>91.4798+10000+1186.556698+549.086695+7516.356607</f>
        <v>19343.479800000001</v>
      </c>
      <c r="R713" s="407">
        <f>S713+T713+U713</f>
        <v>19343.479800000001</v>
      </c>
      <c r="S713" s="14"/>
      <c r="T713" s="14"/>
      <c r="U713" s="407">
        <f>91.4798+10000+1186.556698+549.086695+7516.356607</f>
        <v>19343.479800000001</v>
      </c>
      <c r="V713" s="407">
        <v>13000</v>
      </c>
      <c r="W713" s="407">
        <f>SUM(X713:AA713)</f>
        <v>13000</v>
      </c>
      <c r="X713" s="407">
        <v>13000</v>
      </c>
      <c r="Y713" s="407"/>
      <c r="Z713" s="407"/>
      <c r="AA713" s="407"/>
      <c r="AB713" s="349" t="s">
        <v>1622</v>
      </c>
      <c r="AC713" s="380">
        <f t="shared" si="397"/>
        <v>0</v>
      </c>
      <c r="AJ713" s="8" t="s">
        <v>685</v>
      </c>
    </row>
    <row r="714" spans="1:36" s="8" customFormat="1" ht="89.45" customHeight="1">
      <c r="A714" s="430" t="s">
        <v>144</v>
      </c>
      <c r="B714" s="25" t="s">
        <v>372</v>
      </c>
      <c r="C714" s="111" t="s">
        <v>235</v>
      </c>
      <c r="D714" s="13">
        <v>7912625</v>
      </c>
      <c r="E714" s="697">
        <v>292</v>
      </c>
      <c r="F714" s="316" t="s">
        <v>236</v>
      </c>
      <c r="G714" s="11" t="s">
        <v>186</v>
      </c>
      <c r="H714" s="316" t="s">
        <v>41</v>
      </c>
      <c r="I714" s="349" t="s">
        <v>373</v>
      </c>
      <c r="J714" s="12">
        <f>K714+L714+M714</f>
        <v>22995</v>
      </c>
      <c r="K714" s="14"/>
      <c r="L714" s="14"/>
      <c r="M714" s="533">
        <v>22995</v>
      </c>
      <c r="N714" s="407">
        <f>O714+P714+Q714</f>
        <v>13028</v>
      </c>
      <c r="O714" s="14"/>
      <c r="P714" s="14"/>
      <c r="Q714" s="407">
        <f>80+11500+1448</f>
        <v>13028</v>
      </c>
      <c r="R714" s="407">
        <f>S714+T714+U714</f>
        <v>13028</v>
      </c>
      <c r="S714" s="14"/>
      <c r="T714" s="14"/>
      <c r="U714" s="407">
        <f>80+11500+1448</f>
        <v>13028</v>
      </c>
      <c r="V714" s="407">
        <v>22000</v>
      </c>
      <c r="W714" s="407">
        <f>SUM(X714:AA714)</f>
        <v>5000</v>
      </c>
      <c r="X714" s="407">
        <v>5000</v>
      </c>
      <c r="Y714" s="407"/>
      <c r="Z714" s="407"/>
      <c r="AA714" s="407"/>
      <c r="AB714" s="108" t="s">
        <v>1639</v>
      </c>
      <c r="AC714" s="380">
        <f t="shared" si="397"/>
        <v>0</v>
      </c>
      <c r="AJ714" s="8" t="s">
        <v>685</v>
      </c>
    </row>
    <row r="715" spans="1:36" s="417" customFormat="1" ht="28.5" customHeight="1">
      <c r="A715" s="447" t="s">
        <v>1306</v>
      </c>
      <c r="B715" s="413" t="s">
        <v>1307</v>
      </c>
      <c r="C715" s="111" t="s">
        <v>235</v>
      </c>
      <c r="D715" s="328"/>
      <c r="E715" s="327"/>
      <c r="F715" s="328"/>
      <c r="G715" s="712"/>
      <c r="H715" s="328"/>
      <c r="I715" s="328"/>
      <c r="J715" s="713"/>
      <c r="K715" s="713"/>
      <c r="L715" s="713"/>
      <c r="M715" s="713"/>
      <c r="N715" s="713"/>
      <c r="O715" s="713"/>
      <c r="P715" s="713"/>
      <c r="Q715" s="713"/>
      <c r="R715" s="713"/>
      <c r="S715" s="713"/>
      <c r="T715" s="713"/>
      <c r="U715" s="713"/>
      <c r="V715" s="713"/>
      <c r="W715" s="713"/>
      <c r="X715" s="713"/>
      <c r="Y715" s="713"/>
      <c r="Z715" s="713"/>
      <c r="AA715" s="713"/>
      <c r="AB715" s="712"/>
      <c r="AC715" s="380">
        <f t="shared" si="397"/>
        <v>0</v>
      </c>
    </row>
    <row r="716" spans="1:36" s="231" customFormat="1" ht="45" customHeight="1">
      <c r="A716" s="426" t="s">
        <v>1338</v>
      </c>
      <c r="B716" s="524" t="s">
        <v>425</v>
      </c>
      <c r="C716" s="524" t="s">
        <v>425</v>
      </c>
      <c r="D716" s="320"/>
      <c r="E716" s="720"/>
      <c r="F716" s="629"/>
      <c r="G716" s="318"/>
      <c r="H716" s="629"/>
      <c r="I716" s="319"/>
      <c r="J716" s="14">
        <f t="shared" ref="J716:AA716" si="420">+J717</f>
        <v>27056</v>
      </c>
      <c r="K716" s="14">
        <f t="shared" si="420"/>
        <v>0</v>
      </c>
      <c r="L716" s="14">
        <f t="shared" si="420"/>
        <v>0</v>
      </c>
      <c r="M716" s="14">
        <f t="shared" si="420"/>
        <v>27056</v>
      </c>
      <c r="N716" s="14">
        <f t="shared" si="420"/>
        <v>5357</v>
      </c>
      <c r="O716" s="14">
        <f t="shared" si="420"/>
        <v>0</v>
      </c>
      <c r="P716" s="14">
        <f t="shared" si="420"/>
        <v>0</v>
      </c>
      <c r="Q716" s="14">
        <f t="shared" si="420"/>
        <v>5357</v>
      </c>
      <c r="R716" s="14">
        <f t="shared" si="420"/>
        <v>5357</v>
      </c>
      <c r="S716" s="14">
        <f t="shared" si="420"/>
        <v>0</v>
      </c>
      <c r="T716" s="14">
        <f t="shared" si="420"/>
        <v>0</v>
      </c>
      <c r="U716" s="14">
        <f t="shared" si="420"/>
        <v>5357</v>
      </c>
      <c r="V716" s="14">
        <f t="shared" si="420"/>
        <v>19643</v>
      </c>
      <c r="W716" s="14">
        <f t="shared" si="420"/>
        <v>15000</v>
      </c>
      <c r="X716" s="14">
        <f t="shared" si="420"/>
        <v>15000</v>
      </c>
      <c r="Y716" s="14">
        <f t="shared" si="420"/>
        <v>0</v>
      </c>
      <c r="Z716" s="14">
        <f t="shared" si="420"/>
        <v>0</v>
      </c>
      <c r="AA716" s="14">
        <f t="shared" si="420"/>
        <v>0</v>
      </c>
      <c r="AB716" s="102"/>
      <c r="AC716" s="380">
        <f t="shared" si="397"/>
        <v>0</v>
      </c>
    </row>
    <row r="717" spans="1:36" s="10" customFormat="1" ht="23.25" customHeight="1">
      <c r="A717" s="396" t="s">
        <v>1324</v>
      </c>
      <c r="B717" s="467" t="s">
        <v>38</v>
      </c>
      <c r="C717" s="111" t="s">
        <v>425</v>
      </c>
      <c r="D717" s="469"/>
      <c r="E717" s="469"/>
      <c r="F717" s="469"/>
      <c r="G717" s="469"/>
      <c r="H717" s="469"/>
      <c r="I717" s="469"/>
      <c r="J717" s="468">
        <f t="shared" ref="J717:AA717" si="421">+J719+J721+J718</f>
        <v>27056</v>
      </c>
      <c r="K717" s="468">
        <f t="shared" si="421"/>
        <v>0</v>
      </c>
      <c r="L717" s="468">
        <f t="shared" si="421"/>
        <v>0</v>
      </c>
      <c r="M717" s="468">
        <f t="shared" si="421"/>
        <v>27056</v>
      </c>
      <c r="N717" s="468">
        <f t="shared" si="421"/>
        <v>5357</v>
      </c>
      <c r="O717" s="468">
        <f t="shared" si="421"/>
        <v>0</v>
      </c>
      <c r="P717" s="468">
        <f t="shared" si="421"/>
        <v>0</v>
      </c>
      <c r="Q717" s="468">
        <f t="shared" si="421"/>
        <v>5357</v>
      </c>
      <c r="R717" s="468">
        <f t="shared" si="421"/>
        <v>5357</v>
      </c>
      <c r="S717" s="468">
        <f t="shared" si="421"/>
        <v>0</v>
      </c>
      <c r="T717" s="468">
        <f t="shared" si="421"/>
        <v>0</v>
      </c>
      <c r="U717" s="468">
        <f t="shared" si="421"/>
        <v>5357</v>
      </c>
      <c r="V717" s="468">
        <f t="shared" si="421"/>
        <v>19643</v>
      </c>
      <c r="W717" s="468">
        <f t="shared" si="421"/>
        <v>15000</v>
      </c>
      <c r="X717" s="468">
        <f t="shared" si="421"/>
        <v>15000</v>
      </c>
      <c r="Y717" s="468">
        <f t="shared" si="421"/>
        <v>0</v>
      </c>
      <c r="Z717" s="468">
        <f t="shared" si="421"/>
        <v>0</v>
      </c>
      <c r="AA717" s="468">
        <f t="shared" si="421"/>
        <v>0</v>
      </c>
      <c r="AB717" s="469"/>
      <c r="AC717" s="380">
        <f t="shared" si="397"/>
        <v>0</v>
      </c>
    </row>
    <row r="718" spans="1:36" s="10" customFormat="1" ht="39.75" customHeight="1">
      <c r="A718" s="332" t="s">
        <v>39</v>
      </c>
      <c r="B718" s="326" t="s">
        <v>1254</v>
      </c>
      <c r="C718" s="111" t="s">
        <v>425</v>
      </c>
      <c r="D718" s="554"/>
      <c r="E718" s="332"/>
      <c r="F718" s="471"/>
      <c r="G718" s="471"/>
      <c r="H718" s="332"/>
      <c r="I718" s="471"/>
      <c r="J718" s="331"/>
      <c r="K718" s="331"/>
      <c r="L718" s="331"/>
      <c r="M718" s="331"/>
      <c r="N718" s="331"/>
      <c r="O718" s="331"/>
      <c r="P718" s="331"/>
      <c r="Q718" s="331"/>
      <c r="R718" s="331"/>
      <c r="S718" s="331"/>
      <c r="T718" s="331"/>
      <c r="U718" s="331"/>
      <c r="V718" s="331"/>
      <c r="W718" s="331"/>
      <c r="X718" s="331"/>
      <c r="Y718" s="331"/>
      <c r="Z718" s="331"/>
      <c r="AA718" s="331"/>
      <c r="AB718" s="332">
        <f>+SUM(AB719:AB720)</f>
        <v>0</v>
      </c>
      <c r="AC718" s="380">
        <f t="shared" si="397"/>
        <v>0</v>
      </c>
    </row>
    <row r="719" spans="1:36" s="10" customFormat="1" ht="35.25" customHeight="1">
      <c r="A719" s="332" t="s">
        <v>467</v>
      </c>
      <c r="B719" s="470" t="s">
        <v>423</v>
      </c>
      <c r="C719" s="111" t="s">
        <v>425</v>
      </c>
      <c r="D719" s="471"/>
      <c r="E719" s="471"/>
      <c r="F719" s="471"/>
      <c r="G719" s="471"/>
      <c r="H719" s="471"/>
      <c r="I719" s="471"/>
      <c r="J719" s="472">
        <f>J720</f>
        <v>27056</v>
      </c>
      <c r="K719" s="472">
        <f t="shared" ref="K719:AA719" si="422">K720</f>
        <v>0</v>
      </c>
      <c r="L719" s="472">
        <f t="shared" si="422"/>
        <v>0</v>
      </c>
      <c r="M719" s="472">
        <f t="shared" si="422"/>
        <v>27056</v>
      </c>
      <c r="N719" s="472">
        <f t="shared" si="422"/>
        <v>5357</v>
      </c>
      <c r="O719" s="472">
        <f t="shared" si="422"/>
        <v>0</v>
      </c>
      <c r="P719" s="472">
        <f t="shared" si="422"/>
        <v>0</v>
      </c>
      <c r="Q719" s="472">
        <f t="shared" si="422"/>
        <v>5357</v>
      </c>
      <c r="R719" s="472">
        <f t="shared" si="422"/>
        <v>5357</v>
      </c>
      <c r="S719" s="472">
        <f t="shared" si="422"/>
        <v>0</v>
      </c>
      <c r="T719" s="472">
        <f t="shared" si="422"/>
        <v>0</v>
      </c>
      <c r="U719" s="472">
        <f t="shared" si="422"/>
        <v>5357</v>
      </c>
      <c r="V719" s="472">
        <f t="shared" si="422"/>
        <v>19643</v>
      </c>
      <c r="W719" s="472">
        <f t="shared" si="422"/>
        <v>15000</v>
      </c>
      <c r="X719" s="472">
        <f t="shared" si="422"/>
        <v>15000</v>
      </c>
      <c r="Y719" s="472">
        <f t="shared" si="422"/>
        <v>0</v>
      </c>
      <c r="Z719" s="472">
        <f t="shared" si="422"/>
        <v>0</v>
      </c>
      <c r="AA719" s="472">
        <f t="shared" si="422"/>
        <v>0</v>
      </c>
      <c r="AB719" s="471"/>
      <c r="AC719" s="380">
        <f t="shared" si="397"/>
        <v>0</v>
      </c>
    </row>
    <row r="720" spans="1:36" s="8" customFormat="1" ht="87" customHeight="1">
      <c r="A720" s="100" t="s">
        <v>144</v>
      </c>
      <c r="B720" s="101" t="s">
        <v>424</v>
      </c>
      <c r="C720" s="111" t="s">
        <v>425</v>
      </c>
      <c r="D720" s="20">
        <v>7902103</v>
      </c>
      <c r="E720" s="21">
        <v>292</v>
      </c>
      <c r="F720" s="21" t="s">
        <v>500</v>
      </c>
      <c r="G720" s="21" t="s">
        <v>673</v>
      </c>
      <c r="H720" s="21" t="s">
        <v>73</v>
      </c>
      <c r="I720" s="21" t="s">
        <v>447</v>
      </c>
      <c r="J720" s="43">
        <v>27056</v>
      </c>
      <c r="K720" s="43"/>
      <c r="L720" s="43"/>
      <c r="M720" s="43">
        <v>27056</v>
      </c>
      <c r="N720" s="43">
        <v>5357</v>
      </c>
      <c r="O720" s="43"/>
      <c r="P720" s="43"/>
      <c r="Q720" s="43">
        <v>5357</v>
      </c>
      <c r="R720" s="43">
        <v>5357</v>
      </c>
      <c r="S720" s="43"/>
      <c r="T720" s="43"/>
      <c r="U720" s="43">
        <v>5357</v>
      </c>
      <c r="V720" s="407">
        <v>19643</v>
      </c>
      <c r="W720" s="43">
        <f>SUM(X720:AA720)</f>
        <v>15000</v>
      </c>
      <c r="X720" s="43">
        <v>15000</v>
      </c>
      <c r="Y720" s="43"/>
      <c r="Z720" s="43"/>
      <c r="AA720" s="43"/>
      <c r="AB720" s="108"/>
      <c r="AC720" s="380">
        <f t="shared" si="397"/>
        <v>0</v>
      </c>
      <c r="AJ720" s="8" t="s">
        <v>685</v>
      </c>
    </row>
    <row r="721" spans="1:36" s="10" customFormat="1" ht="21" customHeight="1">
      <c r="A721" s="112" t="s">
        <v>1306</v>
      </c>
      <c r="B721" s="470" t="s">
        <v>163</v>
      </c>
      <c r="C721" s="111" t="s">
        <v>425</v>
      </c>
      <c r="D721" s="473"/>
      <c r="E721" s="471"/>
      <c r="F721" s="471"/>
      <c r="G721" s="471"/>
      <c r="H721" s="471"/>
      <c r="I721" s="471"/>
      <c r="J721" s="472"/>
      <c r="K721" s="472"/>
      <c r="L721" s="472"/>
      <c r="M721" s="472"/>
      <c r="N721" s="472"/>
      <c r="O721" s="472"/>
      <c r="P721" s="472"/>
      <c r="Q721" s="472"/>
      <c r="R721" s="472"/>
      <c r="S721" s="472"/>
      <c r="T721" s="472"/>
      <c r="U721" s="472"/>
      <c r="V721" s="472"/>
      <c r="W721" s="472"/>
      <c r="X721" s="472"/>
      <c r="Y721" s="472"/>
      <c r="Z721" s="472"/>
      <c r="AA721" s="472"/>
      <c r="AB721" s="471"/>
      <c r="AC721" s="380">
        <f t="shared" si="397"/>
        <v>0</v>
      </c>
    </row>
    <row r="722" spans="1:36" s="231" customFormat="1" ht="45" customHeight="1">
      <c r="A722" s="103">
        <v>15</v>
      </c>
      <c r="B722" s="305" t="s">
        <v>456</v>
      </c>
      <c r="C722" s="305" t="s">
        <v>456</v>
      </c>
      <c r="D722" s="306"/>
      <c r="E722" s="304"/>
      <c r="F722" s="304"/>
      <c r="G722" s="304"/>
      <c r="H722" s="304"/>
      <c r="I722" s="304"/>
      <c r="J722" s="655">
        <f t="shared" ref="J722:AA722" si="423">+J723</f>
        <v>24981</v>
      </c>
      <c r="K722" s="655">
        <f t="shared" si="423"/>
        <v>0</v>
      </c>
      <c r="L722" s="655">
        <f t="shared" si="423"/>
        <v>0</v>
      </c>
      <c r="M722" s="655">
        <f t="shared" si="423"/>
        <v>24981</v>
      </c>
      <c r="N722" s="655">
        <f t="shared" si="423"/>
        <v>2485</v>
      </c>
      <c r="O722" s="655">
        <f t="shared" si="423"/>
        <v>0</v>
      </c>
      <c r="P722" s="655">
        <f t="shared" si="423"/>
        <v>0</v>
      </c>
      <c r="Q722" s="655">
        <f t="shared" si="423"/>
        <v>2485</v>
      </c>
      <c r="R722" s="655">
        <f t="shared" si="423"/>
        <v>13829</v>
      </c>
      <c r="S722" s="655">
        <f t="shared" si="423"/>
        <v>0</v>
      </c>
      <c r="T722" s="655">
        <f t="shared" si="423"/>
        <v>0</v>
      </c>
      <c r="U722" s="655">
        <f t="shared" si="423"/>
        <v>13829</v>
      </c>
      <c r="V722" s="655">
        <f t="shared" si="423"/>
        <v>16383</v>
      </c>
      <c r="W722" s="655">
        <f t="shared" si="423"/>
        <v>8000</v>
      </c>
      <c r="X722" s="655">
        <f t="shared" si="423"/>
        <v>8000</v>
      </c>
      <c r="Y722" s="655">
        <f t="shared" si="423"/>
        <v>0</v>
      </c>
      <c r="Z722" s="655">
        <f t="shared" si="423"/>
        <v>0</v>
      </c>
      <c r="AA722" s="655">
        <f t="shared" si="423"/>
        <v>0</v>
      </c>
      <c r="AB722" s="304"/>
      <c r="AC722" s="380">
        <f t="shared" si="397"/>
        <v>0</v>
      </c>
    </row>
    <row r="723" spans="1:36" s="10" customFormat="1" ht="22.5" customHeight="1">
      <c r="A723" s="393" t="s">
        <v>1325</v>
      </c>
      <c r="B723" s="394" t="s">
        <v>38</v>
      </c>
      <c r="C723" s="101" t="s">
        <v>456</v>
      </c>
      <c r="D723" s="394"/>
      <c r="E723" s="394"/>
      <c r="F723" s="419"/>
      <c r="G723" s="419"/>
      <c r="H723" s="420"/>
      <c r="I723" s="421"/>
      <c r="J723" s="453">
        <f t="shared" ref="J723:AA723" si="424">+J725+J728+J724</f>
        <v>24981</v>
      </c>
      <c r="K723" s="453">
        <f t="shared" si="424"/>
        <v>0</v>
      </c>
      <c r="L723" s="453">
        <f t="shared" si="424"/>
        <v>0</v>
      </c>
      <c r="M723" s="453">
        <f t="shared" si="424"/>
        <v>24981</v>
      </c>
      <c r="N723" s="453">
        <f t="shared" si="424"/>
        <v>2485</v>
      </c>
      <c r="O723" s="453">
        <f t="shared" si="424"/>
        <v>0</v>
      </c>
      <c r="P723" s="453">
        <f t="shared" si="424"/>
        <v>0</v>
      </c>
      <c r="Q723" s="453">
        <f t="shared" si="424"/>
        <v>2485</v>
      </c>
      <c r="R723" s="453">
        <f t="shared" si="424"/>
        <v>13829</v>
      </c>
      <c r="S723" s="453">
        <f t="shared" si="424"/>
        <v>0</v>
      </c>
      <c r="T723" s="453">
        <f t="shared" si="424"/>
        <v>0</v>
      </c>
      <c r="U723" s="453">
        <f t="shared" si="424"/>
        <v>13829</v>
      </c>
      <c r="V723" s="453">
        <f t="shared" si="424"/>
        <v>16383</v>
      </c>
      <c r="W723" s="453">
        <f t="shared" si="424"/>
        <v>8000</v>
      </c>
      <c r="X723" s="453">
        <f t="shared" si="424"/>
        <v>8000</v>
      </c>
      <c r="Y723" s="453">
        <f t="shared" si="424"/>
        <v>0</v>
      </c>
      <c r="Z723" s="453">
        <f t="shared" si="424"/>
        <v>0</v>
      </c>
      <c r="AA723" s="453">
        <f t="shared" si="424"/>
        <v>0</v>
      </c>
      <c r="AB723" s="454"/>
      <c r="AC723" s="380">
        <f t="shared" si="397"/>
        <v>0</v>
      </c>
    </row>
    <row r="724" spans="1:36" s="10" customFormat="1" ht="39.75" customHeight="1">
      <c r="A724" s="332" t="s">
        <v>39</v>
      </c>
      <c r="B724" s="326" t="s">
        <v>1254</v>
      </c>
      <c r="C724" s="101" t="s">
        <v>456</v>
      </c>
      <c r="D724" s="554"/>
      <c r="E724" s="332"/>
      <c r="F724" s="471"/>
      <c r="G724" s="471"/>
      <c r="H724" s="332"/>
      <c r="I724" s="471"/>
      <c r="J724" s="331"/>
      <c r="K724" s="331"/>
      <c r="L724" s="331"/>
      <c r="M724" s="331"/>
      <c r="N724" s="331"/>
      <c r="O724" s="331"/>
      <c r="P724" s="331"/>
      <c r="Q724" s="331"/>
      <c r="R724" s="331"/>
      <c r="S724" s="331"/>
      <c r="T724" s="331"/>
      <c r="U724" s="331"/>
      <c r="V724" s="331"/>
      <c r="W724" s="331"/>
      <c r="X724" s="331"/>
      <c r="Y724" s="331"/>
      <c r="Z724" s="331"/>
      <c r="AA724" s="331"/>
      <c r="AB724" s="332">
        <f>+SUM(AB725:AB726)</f>
        <v>0</v>
      </c>
      <c r="AC724" s="380">
        <f t="shared" si="397"/>
        <v>0</v>
      </c>
    </row>
    <row r="725" spans="1:36" s="10" customFormat="1" ht="55.5" customHeight="1">
      <c r="A725" s="397" t="s">
        <v>467</v>
      </c>
      <c r="B725" s="400" t="s">
        <v>183</v>
      </c>
      <c r="C725" s="101" t="s">
        <v>456</v>
      </c>
      <c r="D725" s="400"/>
      <c r="E725" s="400"/>
      <c r="F725" s="424"/>
      <c r="G725" s="424"/>
      <c r="H725" s="425"/>
      <c r="I725" s="328"/>
      <c r="J725" s="436">
        <f>SUM(J726:J727)</f>
        <v>24981</v>
      </c>
      <c r="K725" s="436">
        <f t="shared" ref="K725:V725" si="425">SUM(K726:K727)</f>
        <v>0</v>
      </c>
      <c r="L725" s="436">
        <f t="shared" si="425"/>
        <v>0</v>
      </c>
      <c r="M725" s="436">
        <f t="shared" si="425"/>
        <v>24981</v>
      </c>
      <c r="N725" s="436">
        <f t="shared" si="425"/>
        <v>2485</v>
      </c>
      <c r="O725" s="436">
        <f t="shared" si="425"/>
        <v>0</v>
      </c>
      <c r="P725" s="436">
        <f t="shared" si="425"/>
        <v>0</v>
      </c>
      <c r="Q725" s="436">
        <f t="shared" si="425"/>
        <v>2485</v>
      </c>
      <c r="R725" s="436">
        <f t="shared" si="425"/>
        <v>13829</v>
      </c>
      <c r="S725" s="436">
        <f t="shared" si="425"/>
        <v>0</v>
      </c>
      <c r="T725" s="436">
        <f t="shared" si="425"/>
        <v>0</v>
      </c>
      <c r="U725" s="436">
        <f t="shared" si="425"/>
        <v>13829</v>
      </c>
      <c r="V725" s="436">
        <f t="shared" si="425"/>
        <v>16383</v>
      </c>
      <c r="W725" s="436">
        <f>SUM(W726:W727)</f>
        <v>8000</v>
      </c>
      <c r="X725" s="436">
        <f t="shared" ref="X725:AA725" si="426">SUM(X726:X727)</f>
        <v>8000</v>
      </c>
      <c r="Y725" s="436">
        <f t="shared" si="426"/>
        <v>0</v>
      </c>
      <c r="Z725" s="436">
        <f t="shared" si="426"/>
        <v>0</v>
      </c>
      <c r="AA725" s="436">
        <f t="shared" si="426"/>
        <v>0</v>
      </c>
      <c r="AB725" s="437"/>
      <c r="AC725" s="380">
        <f t="shared" si="397"/>
        <v>0</v>
      </c>
    </row>
    <row r="726" spans="1:36" s="8" customFormat="1" ht="45">
      <c r="A726" s="430" t="s">
        <v>144</v>
      </c>
      <c r="B726" s="718" t="s">
        <v>465</v>
      </c>
      <c r="C726" s="101" t="s">
        <v>456</v>
      </c>
      <c r="D726" s="13">
        <v>7989931</v>
      </c>
      <c r="E726" s="458" t="s">
        <v>308</v>
      </c>
      <c r="F726" s="408" t="s">
        <v>464</v>
      </c>
      <c r="G726" s="11" t="s">
        <v>186</v>
      </c>
      <c r="H726" s="405" t="s">
        <v>73</v>
      </c>
      <c r="I726" s="98" t="s">
        <v>463</v>
      </c>
      <c r="J726" s="457">
        <f>SUM(K726:M726)</f>
        <v>13000</v>
      </c>
      <c r="K726" s="12"/>
      <c r="L726" s="12"/>
      <c r="M726" s="647">
        <v>13000</v>
      </c>
      <c r="N726" s="12">
        <f>SUM(O726:Q726)</f>
        <v>0</v>
      </c>
      <c r="O726" s="12"/>
      <c r="P726" s="12"/>
      <c r="Q726" s="24"/>
      <c r="R726" s="24">
        <f>SUM(S726:U726)</f>
        <v>4848</v>
      </c>
      <c r="S726" s="12"/>
      <c r="T726" s="12"/>
      <c r="U726" s="24">
        <v>4848</v>
      </c>
      <c r="V726" s="407">
        <v>12900</v>
      </c>
      <c r="W726" s="12">
        <f>SUM(X726:AA726)</f>
        <v>5000</v>
      </c>
      <c r="X726" s="12">
        <v>5000</v>
      </c>
      <c r="Y726" s="12"/>
      <c r="Z726" s="12"/>
      <c r="AA726" s="12"/>
      <c r="AB726" s="349" t="s">
        <v>1622</v>
      </c>
      <c r="AC726" s="380">
        <f t="shared" si="397"/>
        <v>0</v>
      </c>
      <c r="AJ726" s="8" t="s">
        <v>685</v>
      </c>
    </row>
    <row r="727" spans="1:36" s="8" customFormat="1" ht="45">
      <c r="A727" s="430" t="s">
        <v>144</v>
      </c>
      <c r="B727" s="27" t="s">
        <v>462</v>
      </c>
      <c r="C727" s="101" t="s">
        <v>456</v>
      </c>
      <c r="D727" s="456" t="s">
        <v>461</v>
      </c>
      <c r="E727" s="458" t="s">
        <v>460</v>
      </c>
      <c r="F727" s="13" t="s">
        <v>459</v>
      </c>
      <c r="G727" s="11" t="s">
        <v>186</v>
      </c>
      <c r="H727" s="405" t="s">
        <v>44</v>
      </c>
      <c r="I727" s="13" t="s">
        <v>458</v>
      </c>
      <c r="J727" s="457">
        <f>SUM(K727:M727)</f>
        <v>11981</v>
      </c>
      <c r="K727" s="12"/>
      <c r="L727" s="12"/>
      <c r="M727" s="17">
        <v>11981</v>
      </c>
      <c r="N727" s="12">
        <f>SUM(O727:Q727)</f>
        <v>2485</v>
      </c>
      <c r="O727" s="12"/>
      <c r="P727" s="12"/>
      <c r="Q727" s="24">
        <v>2485</v>
      </c>
      <c r="R727" s="24">
        <f>SUM(S727:U727)</f>
        <v>8981</v>
      </c>
      <c r="S727" s="12"/>
      <c r="T727" s="12"/>
      <c r="U727" s="17">
        <f>11981-W727</f>
        <v>8981</v>
      </c>
      <c r="V727" s="407">
        <v>3483</v>
      </c>
      <c r="W727" s="12">
        <f>SUM(X727:AA727)</f>
        <v>3000</v>
      </c>
      <c r="X727" s="12">
        <v>3000</v>
      </c>
      <c r="Y727" s="12"/>
      <c r="Z727" s="12"/>
      <c r="AA727" s="12"/>
      <c r="AB727" s="349" t="s">
        <v>1622</v>
      </c>
      <c r="AC727" s="380">
        <f t="shared" si="397"/>
        <v>0</v>
      </c>
      <c r="AJ727" s="8" t="s">
        <v>685</v>
      </c>
    </row>
    <row r="728" spans="1:36" s="10" customFormat="1" ht="30.75" customHeight="1">
      <c r="A728" s="398" t="s">
        <v>1306</v>
      </c>
      <c r="B728" s="413" t="s">
        <v>1307</v>
      </c>
      <c r="C728" s="101" t="s">
        <v>456</v>
      </c>
      <c r="D728" s="459"/>
      <c r="E728" s="460"/>
      <c r="F728" s="328"/>
      <c r="G728" s="424"/>
      <c r="H728" s="415"/>
      <c r="I728" s="328"/>
      <c r="J728" s="436"/>
      <c r="K728" s="436"/>
      <c r="L728" s="436"/>
      <c r="M728" s="436"/>
      <c r="N728" s="436"/>
      <c r="O728" s="436"/>
      <c r="P728" s="436"/>
      <c r="Q728" s="436"/>
      <c r="R728" s="436"/>
      <c r="S728" s="436"/>
      <c r="T728" s="436"/>
      <c r="U728" s="436"/>
      <c r="V728" s="436"/>
      <c r="W728" s="436"/>
      <c r="X728" s="436"/>
      <c r="Y728" s="436"/>
      <c r="Z728" s="436"/>
      <c r="AA728" s="436"/>
      <c r="AB728" s="437"/>
      <c r="AC728" s="380">
        <f t="shared" si="397"/>
        <v>0</v>
      </c>
    </row>
    <row r="729" spans="1:36" s="231" customFormat="1" ht="24" customHeight="1">
      <c r="A729" s="103">
        <v>16</v>
      </c>
      <c r="B729" s="305" t="s">
        <v>615</v>
      </c>
      <c r="C729" s="305" t="s">
        <v>615</v>
      </c>
      <c r="D729" s="306"/>
      <c r="E729" s="304"/>
      <c r="F729" s="304"/>
      <c r="G729" s="304"/>
      <c r="H729" s="304"/>
      <c r="I729" s="304"/>
      <c r="J729" s="655">
        <f t="shared" ref="J729:AA729" si="427">+J730</f>
        <v>117221</v>
      </c>
      <c r="K729" s="655">
        <f t="shared" si="427"/>
        <v>0</v>
      </c>
      <c r="L729" s="655">
        <f t="shared" si="427"/>
        <v>0</v>
      </c>
      <c r="M729" s="655">
        <f t="shared" si="427"/>
        <v>117221</v>
      </c>
      <c r="N729" s="655">
        <f t="shared" si="427"/>
        <v>75000</v>
      </c>
      <c r="O729" s="655">
        <f t="shared" si="427"/>
        <v>0</v>
      </c>
      <c r="P729" s="655">
        <f t="shared" si="427"/>
        <v>0</v>
      </c>
      <c r="Q729" s="655">
        <f t="shared" si="427"/>
        <v>75000</v>
      </c>
      <c r="R729" s="655">
        <f t="shared" si="427"/>
        <v>75200</v>
      </c>
      <c r="S729" s="655">
        <f t="shared" si="427"/>
        <v>0</v>
      </c>
      <c r="T729" s="655">
        <f t="shared" si="427"/>
        <v>0</v>
      </c>
      <c r="U729" s="655">
        <f t="shared" si="427"/>
        <v>75200</v>
      </c>
      <c r="V729" s="655">
        <f t="shared" si="427"/>
        <v>42021</v>
      </c>
      <c r="W729" s="655">
        <f t="shared" si="427"/>
        <v>42021</v>
      </c>
      <c r="X729" s="655">
        <f t="shared" si="427"/>
        <v>2013</v>
      </c>
      <c r="Y729" s="655">
        <f t="shared" si="427"/>
        <v>40008</v>
      </c>
      <c r="Z729" s="655">
        <f t="shared" si="427"/>
        <v>0</v>
      </c>
      <c r="AA729" s="655">
        <f t="shared" si="427"/>
        <v>0</v>
      </c>
      <c r="AB729" s="304"/>
      <c r="AC729" s="380">
        <f t="shared" si="397"/>
        <v>0</v>
      </c>
    </row>
    <row r="730" spans="1:36" s="10" customFormat="1" ht="22.5" customHeight="1">
      <c r="A730" s="393" t="s">
        <v>1326</v>
      </c>
      <c r="B730" s="394" t="s">
        <v>38</v>
      </c>
      <c r="C730" s="101" t="s">
        <v>615</v>
      </c>
      <c r="D730" s="394"/>
      <c r="E730" s="394"/>
      <c r="F730" s="419"/>
      <c r="G730" s="419"/>
      <c r="H730" s="420"/>
      <c r="I730" s="421"/>
      <c r="J730" s="453">
        <f t="shared" ref="J730:AA730" si="428">+J732+J731+J735</f>
        <v>117221</v>
      </c>
      <c r="K730" s="453">
        <f t="shared" si="428"/>
        <v>0</v>
      </c>
      <c r="L730" s="453">
        <f t="shared" si="428"/>
        <v>0</v>
      </c>
      <c r="M730" s="453">
        <f t="shared" si="428"/>
        <v>117221</v>
      </c>
      <c r="N730" s="453">
        <f t="shared" si="428"/>
        <v>75000</v>
      </c>
      <c r="O730" s="453">
        <f t="shared" si="428"/>
        <v>0</v>
      </c>
      <c r="P730" s="453">
        <f t="shared" si="428"/>
        <v>0</v>
      </c>
      <c r="Q730" s="453">
        <f t="shared" si="428"/>
        <v>75000</v>
      </c>
      <c r="R730" s="453">
        <f t="shared" si="428"/>
        <v>75200</v>
      </c>
      <c r="S730" s="453">
        <f t="shared" si="428"/>
        <v>0</v>
      </c>
      <c r="T730" s="453">
        <f t="shared" si="428"/>
        <v>0</v>
      </c>
      <c r="U730" s="453">
        <f t="shared" si="428"/>
        <v>75200</v>
      </c>
      <c r="V730" s="453">
        <f t="shared" si="428"/>
        <v>42021</v>
      </c>
      <c r="W730" s="453">
        <f t="shared" si="428"/>
        <v>42021</v>
      </c>
      <c r="X730" s="453">
        <f t="shared" si="428"/>
        <v>2013</v>
      </c>
      <c r="Y730" s="453">
        <f t="shared" si="428"/>
        <v>40008</v>
      </c>
      <c r="Z730" s="453">
        <f t="shared" si="428"/>
        <v>0</v>
      </c>
      <c r="AA730" s="453">
        <f t="shared" si="428"/>
        <v>0</v>
      </c>
      <c r="AB730" s="454"/>
      <c r="AC730" s="380">
        <f t="shared" si="397"/>
        <v>0</v>
      </c>
    </row>
    <row r="731" spans="1:36" s="10" customFormat="1" ht="39.75" customHeight="1">
      <c r="A731" s="332" t="s">
        <v>39</v>
      </c>
      <c r="B731" s="326" t="s">
        <v>1254</v>
      </c>
      <c r="C731" s="101" t="s">
        <v>615</v>
      </c>
      <c r="D731" s="554"/>
      <c r="E731" s="332"/>
      <c r="F731" s="471"/>
      <c r="G731" s="471"/>
      <c r="H731" s="332"/>
      <c r="I731" s="471"/>
      <c r="J731" s="331"/>
      <c r="K731" s="331"/>
      <c r="L731" s="331"/>
      <c r="M731" s="331"/>
      <c r="N731" s="331"/>
      <c r="O731" s="331"/>
      <c r="P731" s="331"/>
      <c r="Q731" s="331"/>
      <c r="R731" s="331"/>
      <c r="S731" s="331"/>
      <c r="T731" s="331"/>
      <c r="U731" s="331"/>
      <c r="V731" s="331"/>
      <c r="W731" s="331"/>
      <c r="X731" s="331"/>
      <c r="Y731" s="331"/>
      <c r="Z731" s="331"/>
      <c r="AA731" s="331"/>
      <c r="AB731" s="332">
        <f>+SUM(AB732:AB732)</f>
        <v>0</v>
      </c>
      <c r="AC731" s="380">
        <f t="shared" ref="AC731:AC793" si="429">+W731-X731-Y731-Z731</f>
        <v>0</v>
      </c>
    </row>
    <row r="732" spans="1:36" s="10" customFormat="1" ht="53.25" customHeight="1">
      <c r="A732" s="397" t="s">
        <v>467</v>
      </c>
      <c r="B732" s="400" t="s">
        <v>183</v>
      </c>
      <c r="C732" s="101" t="s">
        <v>615</v>
      </c>
      <c r="D732" s="400"/>
      <c r="E732" s="400"/>
      <c r="F732" s="424"/>
      <c r="G732" s="424"/>
      <c r="H732" s="425"/>
      <c r="I732" s="328"/>
      <c r="J732" s="436">
        <f t="shared" ref="J732:AA732" si="430">+J733+J734</f>
        <v>117221</v>
      </c>
      <c r="K732" s="436">
        <f t="shared" si="430"/>
        <v>0</v>
      </c>
      <c r="L732" s="436">
        <f t="shared" si="430"/>
        <v>0</v>
      </c>
      <c r="M732" s="436">
        <f t="shared" si="430"/>
        <v>117221</v>
      </c>
      <c r="N732" s="436">
        <f t="shared" si="430"/>
        <v>75000</v>
      </c>
      <c r="O732" s="436">
        <f t="shared" si="430"/>
        <v>0</v>
      </c>
      <c r="P732" s="436">
        <f t="shared" si="430"/>
        <v>0</v>
      </c>
      <c r="Q732" s="436">
        <f t="shared" si="430"/>
        <v>75000</v>
      </c>
      <c r="R732" s="436">
        <f t="shared" si="430"/>
        <v>75200</v>
      </c>
      <c r="S732" s="436">
        <f t="shared" si="430"/>
        <v>0</v>
      </c>
      <c r="T732" s="436">
        <f t="shared" si="430"/>
        <v>0</v>
      </c>
      <c r="U732" s="436">
        <f t="shared" si="430"/>
        <v>75200</v>
      </c>
      <c r="V732" s="436">
        <f t="shared" si="430"/>
        <v>42021</v>
      </c>
      <c r="W732" s="436">
        <f>+W733+W734</f>
        <v>42021</v>
      </c>
      <c r="X732" s="436">
        <f t="shared" si="430"/>
        <v>2013</v>
      </c>
      <c r="Y732" s="436">
        <f t="shared" si="430"/>
        <v>40008</v>
      </c>
      <c r="Z732" s="436">
        <f t="shared" si="430"/>
        <v>0</v>
      </c>
      <c r="AA732" s="436">
        <f t="shared" si="430"/>
        <v>0</v>
      </c>
      <c r="AB732" s="437"/>
      <c r="AC732" s="380">
        <f t="shared" si="429"/>
        <v>0</v>
      </c>
    </row>
    <row r="733" spans="1:36" s="7" customFormat="1" ht="92.25" customHeight="1">
      <c r="A733" s="401" t="s">
        <v>144</v>
      </c>
      <c r="B733" s="721" t="s">
        <v>616</v>
      </c>
      <c r="C733" s="101" t="s">
        <v>615</v>
      </c>
      <c r="D733" s="313">
        <v>8139985</v>
      </c>
      <c r="E733" s="433">
        <v>419</v>
      </c>
      <c r="F733" s="349" t="s">
        <v>617</v>
      </c>
      <c r="G733" s="13"/>
      <c r="H733" s="13" t="s">
        <v>244</v>
      </c>
      <c r="I733" s="13" t="s">
        <v>618</v>
      </c>
      <c r="J733" s="95">
        <v>27000</v>
      </c>
      <c r="K733" s="12"/>
      <c r="L733" s="12"/>
      <c r="M733" s="12">
        <f>+J733</f>
        <v>27000</v>
      </c>
      <c r="N733" s="12">
        <f>+Q733</f>
        <v>15000</v>
      </c>
      <c r="O733" s="12"/>
      <c r="P733" s="12"/>
      <c r="Q733" s="12">
        <f>+U733</f>
        <v>15000</v>
      </c>
      <c r="R733" s="12">
        <f>+U733</f>
        <v>15000</v>
      </c>
      <c r="S733" s="12"/>
      <c r="T733" s="12"/>
      <c r="U733" s="12">
        <v>15000</v>
      </c>
      <c r="V733" s="12">
        <v>12000</v>
      </c>
      <c r="W733" s="12">
        <f>SUM(X733:AA733)</f>
        <v>12000</v>
      </c>
      <c r="X733" s="12">
        <v>2013</v>
      </c>
      <c r="Y733" s="12">
        <v>9987</v>
      </c>
      <c r="Z733" s="12"/>
      <c r="AA733" s="12"/>
      <c r="AB733" s="349" t="s">
        <v>1622</v>
      </c>
      <c r="AC733" s="380">
        <f t="shared" si="429"/>
        <v>0</v>
      </c>
      <c r="AJ733" s="7" t="s">
        <v>685</v>
      </c>
    </row>
    <row r="734" spans="1:36" s="7" customFormat="1" ht="68.25" customHeight="1">
      <c r="A734" s="696" t="s">
        <v>144</v>
      </c>
      <c r="B734" s="721" t="s">
        <v>619</v>
      </c>
      <c r="C734" s="101" t="s">
        <v>615</v>
      </c>
      <c r="D734" s="433">
        <v>8110596</v>
      </c>
      <c r="E734" s="13">
        <v>419</v>
      </c>
      <c r="F734" s="349" t="s">
        <v>620</v>
      </c>
      <c r="G734" s="13" t="s">
        <v>621</v>
      </c>
      <c r="H734" s="13" t="s">
        <v>207</v>
      </c>
      <c r="I734" s="13" t="s">
        <v>622</v>
      </c>
      <c r="J734" s="95">
        <v>90221</v>
      </c>
      <c r="K734" s="12"/>
      <c r="L734" s="12"/>
      <c r="M734" s="12">
        <f>+J734</f>
        <v>90221</v>
      </c>
      <c r="N734" s="12">
        <f>+Q734</f>
        <v>60000</v>
      </c>
      <c r="O734" s="12"/>
      <c r="P734" s="12"/>
      <c r="Q734" s="12">
        <v>60000</v>
      </c>
      <c r="R734" s="12">
        <f>+U734</f>
        <v>60200</v>
      </c>
      <c r="S734" s="12"/>
      <c r="T734" s="12"/>
      <c r="U734" s="12">
        <v>60200</v>
      </c>
      <c r="V734" s="12">
        <v>30021</v>
      </c>
      <c r="W734" s="12">
        <f>SUM(X734:AA734)</f>
        <v>30021</v>
      </c>
      <c r="X734" s="12"/>
      <c r="Y734" s="12">
        <v>30021</v>
      </c>
      <c r="Z734" s="12"/>
      <c r="AA734" s="12"/>
      <c r="AB734" s="349" t="s">
        <v>1622</v>
      </c>
      <c r="AC734" s="380">
        <f t="shared" si="429"/>
        <v>0</v>
      </c>
      <c r="AJ734" s="7" t="s">
        <v>685</v>
      </c>
    </row>
    <row r="735" spans="1:36" s="10" customFormat="1" ht="30.75" customHeight="1">
      <c r="A735" s="398" t="s">
        <v>1306</v>
      </c>
      <c r="B735" s="413" t="s">
        <v>1307</v>
      </c>
      <c r="C735" s="101" t="s">
        <v>615</v>
      </c>
      <c r="D735" s="459"/>
      <c r="E735" s="460"/>
      <c r="F735" s="328"/>
      <c r="G735" s="424"/>
      <c r="H735" s="415"/>
      <c r="I735" s="328"/>
      <c r="J735" s="436"/>
      <c r="K735" s="436"/>
      <c r="L735" s="436"/>
      <c r="M735" s="436"/>
      <c r="N735" s="436"/>
      <c r="O735" s="436"/>
      <c r="P735" s="436"/>
      <c r="Q735" s="436"/>
      <c r="R735" s="436"/>
      <c r="S735" s="436"/>
      <c r="T735" s="436"/>
      <c r="U735" s="436"/>
      <c r="V735" s="436"/>
      <c r="W735" s="436"/>
      <c r="X735" s="436"/>
      <c r="Y735" s="436"/>
      <c r="Z735" s="436"/>
      <c r="AA735" s="436"/>
      <c r="AB735" s="437"/>
      <c r="AC735" s="380">
        <f t="shared" si="429"/>
        <v>0</v>
      </c>
    </row>
    <row r="736" spans="1:36" s="231" customFormat="1" ht="36.75" customHeight="1">
      <c r="A736" s="426" t="s">
        <v>1327</v>
      </c>
      <c r="B736" s="317" t="s">
        <v>845</v>
      </c>
      <c r="C736" s="317" t="s">
        <v>845</v>
      </c>
      <c r="D736" s="306"/>
      <c r="E736" s="306"/>
      <c r="F736" s="306"/>
      <c r="G736" s="320"/>
      <c r="H736" s="306"/>
      <c r="I736" s="306"/>
      <c r="J736" s="14">
        <f t="shared" ref="J736:AA736" si="431">+J737</f>
        <v>73500</v>
      </c>
      <c r="K736" s="14">
        <f t="shared" si="431"/>
        <v>0</v>
      </c>
      <c r="L736" s="14">
        <f t="shared" si="431"/>
        <v>0</v>
      </c>
      <c r="M736" s="14">
        <f t="shared" si="431"/>
        <v>73500</v>
      </c>
      <c r="N736" s="14">
        <f t="shared" si="431"/>
        <v>39123</v>
      </c>
      <c r="O736" s="14">
        <f t="shared" si="431"/>
        <v>0</v>
      </c>
      <c r="P736" s="14">
        <f t="shared" si="431"/>
        <v>0</v>
      </c>
      <c r="Q736" s="14">
        <f t="shared" si="431"/>
        <v>39123</v>
      </c>
      <c r="R736" s="14">
        <f t="shared" si="431"/>
        <v>34620</v>
      </c>
      <c r="S736" s="14">
        <f t="shared" si="431"/>
        <v>0</v>
      </c>
      <c r="T736" s="14">
        <f t="shared" si="431"/>
        <v>0</v>
      </c>
      <c r="U736" s="14">
        <f t="shared" si="431"/>
        <v>34620</v>
      </c>
      <c r="V736" s="14">
        <f t="shared" si="431"/>
        <v>38880</v>
      </c>
      <c r="W736" s="14">
        <f t="shared" si="431"/>
        <v>23403</v>
      </c>
      <c r="X736" s="14">
        <f t="shared" si="431"/>
        <v>20877</v>
      </c>
      <c r="Y736" s="14">
        <f t="shared" si="431"/>
        <v>2526</v>
      </c>
      <c r="Z736" s="14">
        <f t="shared" si="431"/>
        <v>0</v>
      </c>
      <c r="AA736" s="14">
        <f t="shared" si="431"/>
        <v>0</v>
      </c>
      <c r="AB736" s="102"/>
      <c r="AC736" s="380">
        <f t="shared" si="429"/>
        <v>0</v>
      </c>
    </row>
    <row r="737" spans="1:36" s="422" customFormat="1" ht="36.75" customHeight="1">
      <c r="A737" s="495" t="s">
        <v>1328</v>
      </c>
      <c r="B737" s="394" t="s">
        <v>38</v>
      </c>
      <c r="C737" s="15" t="s">
        <v>845</v>
      </c>
      <c r="D737" s="722"/>
      <c r="E737" s="722"/>
      <c r="F737" s="722"/>
      <c r="G737" s="421"/>
      <c r="H737" s="722"/>
      <c r="I737" s="722"/>
      <c r="J737" s="453">
        <f t="shared" ref="J737:AA737" si="432">+J738+J740+J744</f>
        <v>73500</v>
      </c>
      <c r="K737" s="453">
        <f t="shared" si="432"/>
        <v>0</v>
      </c>
      <c r="L737" s="453">
        <f t="shared" si="432"/>
        <v>0</v>
      </c>
      <c r="M737" s="453">
        <f t="shared" si="432"/>
        <v>73500</v>
      </c>
      <c r="N737" s="453">
        <f t="shared" si="432"/>
        <v>39123</v>
      </c>
      <c r="O737" s="453">
        <f t="shared" si="432"/>
        <v>0</v>
      </c>
      <c r="P737" s="453">
        <f t="shared" si="432"/>
        <v>0</v>
      </c>
      <c r="Q737" s="453">
        <f t="shared" si="432"/>
        <v>39123</v>
      </c>
      <c r="R737" s="453">
        <f t="shared" si="432"/>
        <v>34620</v>
      </c>
      <c r="S737" s="453">
        <f t="shared" si="432"/>
        <v>0</v>
      </c>
      <c r="T737" s="453">
        <f t="shared" si="432"/>
        <v>0</v>
      </c>
      <c r="U737" s="453">
        <f t="shared" si="432"/>
        <v>34620</v>
      </c>
      <c r="V737" s="453">
        <f t="shared" si="432"/>
        <v>38880</v>
      </c>
      <c r="W737" s="453">
        <f t="shared" si="432"/>
        <v>23403</v>
      </c>
      <c r="X737" s="453">
        <f t="shared" si="432"/>
        <v>20877</v>
      </c>
      <c r="Y737" s="453">
        <f t="shared" si="432"/>
        <v>2526</v>
      </c>
      <c r="Z737" s="453">
        <f t="shared" si="432"/>
        <v>0</v>
      </c>
      <c r="AA737" s="453">
        <f t="shared" si="432"/>
        <v>0</v>
      </c>
      <c r="AB737" s="454"/>
      <c r="AC737" s="380">
        <f t="shared" si="429"/>
        <v>0</v>
      </c>
    </row>
    <row r="738" spans="1:36" s="10" customFormat="1" ht="39.75" customHeight="1">
      <c r="A738" s="332" t="s">
        <v>39</v>
      </c>
      <c r="B738" s="326" t="s">
        <v>1254</v>
      </c>
      <c r="C738" s="15" t="s">
        <v>845</v>
      </c>
      <c r="D738" s="554"/>
      <c r="E738" s="332"/>
      <c r="F738" s="471"/>
      <c r="G738" s="471"/>
      <c r="H738" s="332"/>
      <c r="I738" s="471"/>
      <c r="J738" s="331">
        <f t="shared" ref="J738:AA738" si="433">+J739</f>
        <v>9000</v>
      </c>
      <c r="K738" s="331">
        <f t="shared" si="433"/>
        <v>0</v>
      </c>
      <c r="L738" s="331">
        <f t="shared" si="433"/>
        <v>0</v>
      </c>
      <c r="M738" s="331">
        <f t="shared" si="433"/>
        <v>9000</v>
      </c>
      <c r="N738" s="331">
        <f t="shared" si="433"/>
        <v>9000</v>
      </c>
      <c r="O738" s="331">
        <f t="shared" si="433"/>
        <v>0</v>
      </c>
      <c r="P738" s="331">
        <f t="shared" si="433"/>
        <v>0</v>
      </c>
      <c r="Q738" s="331">
        <f t="shared" si="433"/>
        <v>9000</v>
      </c>
      <c r="R738" s="331">
        <f t="shared" si="433"/>
        <v>7023</v>
      </c>
      <c r="S738" s="331">
        <f t="shared" si="433"/>
        <v>0</v>
      </c>
      <c r="T738" s="331">
        <f t="shared" si="433"/>
        <v>0</v>
      </c>
      <c r="U738" s="331">
        <f t="shared" si="433"/>
        <v>7023</v>
      </c>
      <c r="V738" s="331">
        <f t="shared" si="433"/>
        <v>1977</v>
      </c>
      <c r="W738" s="331">
        <f t="shared" si="433"/>
        <v>1977</v>
      </c>
      <c r="X738" s="331">
        <f t="shared" si="433"/>
        <v>1977</v>
      </c>
      <c r="Y738" s="331">
        <f t="shared" si="433"/>
        <v>0</v>
      </c>
      <c r="Z738" s="331">
        <f t="shared" si="433"/>
        <v>0</v>
      </c>
      <c r="AA738" s="331">
        <f t="shared" si="433"/>
        <v>0</v>
      </c>
      <c r="AB738" s="332"/>
      <c r="AC738" s="380">
        <f t="shared" si="429"/>
        <v>0</v>
      </c>
    </row>
    <row r="739" spans="1:36" s="8" customFormat="1" ht="60" customHeight="1">
      <c r="A739" s="799" t="s">
        <v>144</v>
      </c>
      <c r="B739" s="800" t="s">
        <v>1244</v>
      </c>
      <c r="C739" s="798" t="s">
        <v>845</v>
      </c>
      <c r="D739" s="801">
        <v>8069767</v>
      </c>
      <c r="E739" s="801">
        <v>292</v>
      </c>
      <c r="F739" s="802" t="s">
        <v>1245</v>
      </c>
      <c r="G739" s="803"/>
      <c r="H739" s="804" t="s">
        <v>187</v>
      </c>
      <c r="I739" s="801" t="s">
        <v>1246</v>
      </c>
      <c r="J739" s="805">
        <v>9000</v>
      </c>
      <c r="K739" s="806"/>
      <c r="L739" s="806"/>
      <c r="M739" s="805">
        <v>9000</v>
      </c>
      <c r="N739" s="805">
        <f>Q739</f>
        <v>9000</v>
      </c>
      <c r="O739" s="805"/>
      <c r="P739" s="805"/>
      <c r="Q739" s="805">
        <v>9000</v>
      </c>
      <c r="R739" s="805">
        <f>U739</f>
        <v>7023</v>
      </c>
      <c r="S739" s="805"/>
      <c r="T739" s="805"/>
      <c r="U739" s="805">
        <v>7023</v>
      </c>
      <c r="V739" s="805">
        <v>1977</v>
      </c>
      <c r="W739" s="805">
        <f>SUM(X739:AA739)</f>
        <v>1977</v>
      </c>
      <c r="X739" s="805">
        <v>1977</v>
      </c>
      <c r="Y739" s="805"/>
      <c r="Z739" s="805"/>
      <c r="AA739" s="805"/>
      <c r="AB739" s="807" t="s">
        <v>1308</v>
      </c>
      <c r="AC739" s="380">
        <f t="shared" si="429"/>
        <v>0</v>
      </c>
      <c r="AJ739" s="555" t="s">
        <v>1308</v>
      </c>
    </row>
    <row r="740" spans="1:36" s="10" customFormat="1" ht="47.25" customHeight="1">
      <c r="A740" s="398" t="s">
        <v>467</v>
      </c>
      <c r="B740" s="326" t="s">
        <v>56</v>
      </c>
      <c r="C740" s="15" t="s">
        <v>845</v>
      </c>
      <c r="D740" s="473"/>
      <c r="E740" s="473"/>
      <c r="F740" s="473"/>
      <c r="G740" s="328"/>
      <c r="H740" s="473"/>
      <c r="I740" s="473"/>
      <c r="J740" s="436">
        <f t="shared" ref="J740:AA740" si="434">SUM(J741:J743)</f>
        <v>64500</v>
      </c>
      <c r="K740" s="436">
        <f t="shared" si="434"/>
        <v>0</v>
      </c>
      <c r="L740" s="436">
        <f t="shared" si="434"/>
        <v>0</v>
      </c>
      <c r="M740" s="436">
        <f t="shared" si="434"/>
        <v>64500</v>
      </c>
      <c r="N740" s="436">
        <f t="shared" si="434"/>
        <v>30123</v>
      </c>
      <c r="O740" s="436">
        <f t="shared" si="434"/>
        <v>0</v>
      </c>
      <c r="P740" s="436">
        <f t="shared" si="434"/>
        <v>0</v>
      </c>
      <c r="Q740" s="436">
        <f t="shared" si="434"/>
        <v>30123</v>
      </c>
      <c r="R740" s="436">
        <f t="shared" si="434"/>
        <v>27597</v>
      </c>
      <c r="S740" s="436">
        <f t="shared" si="434"/>
        <v>0</v>
      </c>
      <c r="T740" s="436">
        <f t="shared" si="434"/>
        <v>0</v>
      </c>
      <c r="U740" s="436">
        <f t="shared" si="434"/>
        <v>27597</v>
      </c>
      <c r="V740" s="436">
        <f t="shared" si="434"/>
        <v>36903</v>
      </c>
      <c r="W740" s="436">
        <f>SUM(W741:W743)</f>
        <v>21426</v>
      </c>
      <c r="X740" s="436">
        <f t="shared" si="434"/>
        <v>18900</v>
      </c>
      <c r="Y740" s="436">
        <f t="shared" si="434"/>
        <v>2526</v>
      </c>
      <c r="Z740" s="436">
        <f t="shared" si="434"/>
        <v>0</v>
      </c>
      <c r="AA740" s="436">
        <f t="shared" si="434"/>
        <v>0</v>
      </c>
      <c r="AB740" s="437"/>
      <c r="AC740" s="380">
        <f t="shared" si="429"/>
        <v>0</v>
      </c>
    </row>
    <row r="741" spans="1:36" s="8" customFormat="1" ht="71.25" customHeight="1">
      <c r="A741" s="430" t="s">
        <v>144</v>
      </c>
      <c r="B741" s="15" t="s">
        <v>846</v>
      </c>
      <c r="C741" s="15" t="s">
        <v>845</v>
      </c>
      <c r="D741" s="20">
        <v>8083681</v>
      </c>
      <c r="E741" s="20"/>
      <c r="F741" s="20" t="s">
        <v>847</v>
      </c>
      <c r="G741" s="13" t="s">
        <v>848</v>
      </c>
      <c r="H741" s="20" t="s">
        <v>187</v>
      </c>
      <c r="I741" s="20" t="s">
        <v>849</v>
      </c>
      <c r="J741" s="12">
        <v>5500</v>
      </c>
      <c r="K741" s="12"/>
      <c r="L741" s="12"/>
      <c r="M741" s="12">
        <v>5500</v>
      </c>
      <c r="N741" s="12">
        <v>5500</v>
      </c>
      <c r="O741" s="12"/>
      <c r="P741" s="12"/>
      <c r="Q741" s="12">
        <v>5500</v>
      </c>
      <c r="R741" s="12">
        <v>2974</v>
      </c>
      <c r="S741" s="12"/>
      <c r="T741" s="12"/>
      <c r="U741" s="12">
        <v>2974</v>
      </c>
      <c r="V741" s="476">
        <v>2526</v>
      </c>
      <c r="W741" s="12">
        <f>SUM(X741:AA741)</f>
        <v>2526</v>
      </c>
      <c r="X741" s="12"/>
      <c r="Y741" s="12">
        <v>2526</v>
      </c>
      <c r="Z741" s="12"/>
      <c r="AA741" s="12"/>
      <c r="AB741" s="349" t="s">
        <v>1622</v>
      </c>
      <c r="AC741" s="380">
        <f t="shared" si="429"/>
        <v>0</v>
      </c>
      <c r="AJ741" s="8" t="s">
        <v>685</v>
      </c>
    </row>
    <row r="742" spans="1:36" s="8" customFormat="1" ht="69.75" customHeight="1">
      <c r="A742" s="430" t="s">
        <v>144</v>
      </c>
      <c r="B742" s="15" t="s">
        <v>850</v>
      </c>
      <c r="C742" s="15" t="s">
        <v>845</v>
      </c>
      <c r="D742" s="20">
        <v>7921436</v>
      </c>
      <c r="E742" s="20"/>
      <c r="F742" s="20" t="s">
        <v>851</v>
      </c>
      <c r="G742" s="13" t="s">
        <v>852</v>
      </c>
      <c r="H742" s="20" t="s">
        <v>44</v>
      </c>
      <c r="I742" s="20" t="s">
        <v>853</v>
      </c>
      <c r="J742" s="12">
        <v>36000</v>
      </c>
      <c r="K742" s="12"/>
      <c r="L742" s="12"/>
      <c r="M742" s="12">
        <v>36000</v>
      </c>
      <c r="N742" s="12">
        <v>24000</v>
      </c>
      <c r="O742" s="12"/>
      <c r="P742" s="12"/>
      <c r="Q742" s="12">
        <v>24000</v>
      </c>
      <c r="R742" s="12">
        <v>24000</v>
      </c>
      <c r="S742" s="12"/>
      <c r="T742" s="12"/>
      <c r="U742" s="12">
        <v>24000</v>
      </c>
      <c r="V742" s="691">
        <v>12000</v>
      </c>
      <c r="W742" s="12">
        <f t="shared" ref="W742:W743" si="435">SUM(X742:AA742)</f>
        <v>12000</v>
      </c>
      <c r="X742" s="12">
        <v>12000</v>
      </c>
      <c r="Y742" s="12"/>
      <c r="Z742" s="12"/>
      <c r="AA742" s="12"/>
      <c r="AB742" s="349" t="s">
        <v>1622</v>
      </c>
      <c r="AC742" s="380">
        <f t="shared" si="429"/>
        <v>0</v>
      </c>
      <c r="AJ742" s="8" t="s">
        <v>685</v>
      </c>
    </row>
    <row r="743" spans="1:36" s="8" customFormat="1" ht="72.75" customHeight="1">
      <c r="A743" s="430" t="s">
        <v>144</v>
      </c>
      <c r="B743" s="15" t="s">
        <v>854</v>
      </c>
      <c r="C743" s="15" t="s">
        <v>845</v>
      </c>
      <c r="D743" s="20">
        <v>7866210</v>
      </c>
      <c r="E743" s="20"/>
      <c r="F743" s="20" t="s">
        <v>847</v>
      </c>
      <c r="G743" s="13" t="s">
        <v>855</v>
      </c>
      <c r="H743" s="20" t="s">
        <v>41</v>
      </c>
      <c r="I743" s="20" t="s">
        <v>856</v>
      </c>
      <c r="J743" s="12">
        <v>23000</v>
      </c>
      <c r="K743" s="12"/>
      <c r="L743" s="12"/>
      <c r="M743" s="12">
        <v>23000</v>
      </c>
      <c r="N743" s="12">
        <v>623</v>
      </c>
      <c r="O743" s="12"/>
      <c r="P743" s="12"/>
      <c r="Q743" s="12">
        <v>623</v>
      </c>
      <c r="R743" s="12">
        <v>623</v>
      </c>
      <c r="S743" s="12"/>
      <c r="T743" s="12"/>
      <c r="U743" s="12">
        <v>623</v>
      </c>
      <c r="V743" s="691">
        <v>22377</v>
      </c>
      <c r="W743" s="12">
        <f t="shared" si="435"/>
        <v>6900</v>
      </c>
      <c r="X743" s="12">
        <v>6900</v>
      </c>
      <c r="Y743" s="12"/>
      <c r="Z743" s="12"/>
      <c r="AA743" s="12"/>
      <c r="AB743" s="108" t="s">
        <v>1639</v>
      </c>
      <c r="AC743" s="380">
        <f t="shared" si="429"/>
        <v>0</v>
      </c>
      <c r="AJ743" s="8" t="s">
        <v>685</v>
      </c>
    </row>
    <row r="744" spans="1:36" s="10" customFormat="1" ht="30.75" customHeight="1">
      <c r="A744" s="398" t="s">
        <v>1306</v>
      </c>
      <c r="B744" s="413" t="s">
        <v>1307</v>
      </c>
      <c r="C744" s="15" t="s">
        <v>845</v>
      </c>
      <c r="D744" s="459"/>
      <c r="E744" s="460"/>
      <c r="F744" s="328"/>
      <c r="G744" s="424"/>
      <c r="H744" s="415"/>
      <c r="I744" s="328"/>
      <c r="J744" s="436"/>
      <c r="K744" s="436"/>
      <c r="L744" s="436"/>
      <c r="M744" s="436"/>
      <c r="N744" s="436"/>
      <c r="O744" s="436"/>
      <c r="P744" s="436"/>
      <c r="Q744" s="436"/>
      <c r="R744" s="436"/>
      <c r="S744" s="436"/>
      <c r="T744" s="436"/>
      <c r="U744" s="436"/>
      <c r="V744" s="436"/>
      <c r="W744" s="436"/>
      <c r="X744" s="436"/>
      <c r="Y744" s="436"/>
      <c r="Z744" s="436"/>
      <c r="AA744" s="436"/>
      <c r="AB744" s="437"/>
      <c r="AC744" s="380">
        <f t="shared" si="429"/>
        <v>0</v>
      </c>
    </row>
    <row r="745" spans="1:36" s="231" customFormat="1" ht="35.25" customHeight="1">
      <c r="A745" s="426" t="s">
        <v>1329</v>
      </c>
      <c r="B745" s="317" t="s">
        <v>857</v>
      </c>
      <c r="C745" s="317" t="s">
        <v>857</v>
      </c>
      <c r="D745" s="306"/>
      <c r="E745" s="306"/>
      <c r="F745" s="306"/>
      <c r="G745" s="320"/>
      <c r="H745" s="306"/>
      <c r="I745" s="306"/>
      <c r="J745" s="14">
        <f>J746</f>
        <v>152773</v>
      </c>
      <c r="K745" s="14">
        <f t="shared" ref="K745:AA745" si="436">K746</f>
        <v>0</v>
      </c>
      <c r="L745" s="14">
        <f t="shared" si="436"/>
        <v>0</v>
      </c>
      <c r="M745" s="14">
        <f t="shared" si="436"/>
        <v>152773</v>
      </c>
      <c r="N745" s="14">
        <f t="shared" si="436"/>
        <v>121520</v>
      </c>
      <c r="O745" s="14">
        <f t="shared" si="436"/>
        <v>0</v>
      </c>
      <c r="P745" s="14">
        <f t="shared" si="436"/>
        <v>0</v>
      </c>
      <c r="Q745" s="14">
        <f t="shared" si="436"/>
        <v>121520</v>
      </c>
      <c r="R745" s="14">
        <f t="shared" si="436"/>
        <v>121519</v>
      </c>
      <c r="S745" s="14">
        <f t="shared" si="436"/>
        <v>0</v>
      </c>
      <c r="T745" s="14">
        <f t="shared" si="436"/>
        <v>0</v>
      </c>
      <c r="U745" s="14">
        <f t="shared" si="436"/>
        <v>121519</v>
      </c>
      <c r="V745" s="14">
        <f t="shared" si="436"/>
        <v>30018</v>
      </c>
      <c r="W745" s="14">
        <f t="shared" si="436"/>
        <v>27895.727999999999</v>
      </c>
      <c r="X745" s="14">
        <f t="shared" si="436"/>
        <v>26445.727999999999</v>
      </c>
      <c r="Y745" s="14">
        <f t="shared" si="436"/>
        <v>0</v>
      </c>
      <c r="Z745" s="14">
        <f t="shared" si="436"/>
        <v>1450</v>
      </c>
      <c r="AA745" s="14">
        <f t="shared" si="436"/>
        <v>0</v>
      </c>
      <c r="AB745" s="102"/>
      <c r="AC745" s="380">
        <f t="shared" si="429"/>
        <v>0</v>
      </c>
    </row>
    <row r="746" spans="1:36" s="422" customFormat="1" ht="24.75" customHeight="1">
      <c r="A746" s="495" t="s">
        <v>1330</v>
      </c>
      <c r="B746" s="394" t="s">
        <v>38</v>
      </c>
      <c r="C746" s="15" t="s">
        <v>857</v>
      </c>
      <c r="D746" s="722"/>
      <c r="E746" s="722"/>
      <c r="F746" s="722"/>
      <c r="G746" s="421"/>
      <c r="H746" s="722"/>
      <c r="I746" s="722"/>
      <c r="J746" s="453">
        <f t="shared" ref="J746:AA746" si="437">J748+J747+J753</f>
        <v>152773</v>
      </c>
      <c r="K746" s="453">
        <f t="shared" si="437"/>
        <v>0</v>
      </c>
      <c r="L746" s="453">
        <f t="shared" si="437"/>
        <v>0</v>
      </c>
      <c r="M746" s="453">
        <f t="shared" si="437"/>
        <v>152773</v>
      </c>
      <c r="N746" s="453">
        <f t="shared" si="437"/>
        <v>121520</v>
      </c>
      <c r="O746" s="453">
        <f t="shared" si="437"/>
        <v>0</v>
      </c>
      <c r="P746" s="453">
        <f t="shared" si="437"/>
        <v>0</v>
      </c>
      <c r="Q746" s="453">
        <f t="shared" si="437"/>
        <v>121520</v>
      </c>
      <c r="R746" s="453">
        <f t="shared" si="437"/>
        <v>121519</v>
      </c>
      <c r="S746" s="453">
        <f t="shared" si="437"/>
        <v>0</v>
      </c>
      <c r="T746" s="453">
        <f t="shared" si="437"/>
        <v>0</v>
      </c>
      <c r="U746" s="453">
        <f t="shared" si="437"/>
        <v>121519</v>
      </c>
      <c r="V746" s="453">
        <f t="shared" si="437"/>
        <v>30018</v>
      </c>
      <c r="W746" s="453">
        <f t="shared" si="437"/>
        <v>27895.727999999999</v>
      </c>
      <c r="X746" s="453">
        <f t="shared" si="437"/>
        <v>26445.727999999999</v>
      </c>
      <c r="Y746" s="453">
        <f t="shared" si="437"/>
        <v>0</v>
      </c>
      <c r="Z746" s="453">
        <f t="shared" si="437"/>
        <v>1450</v>
      </c>
      <c r="AA746" s="453">
        <f t="shared" si="437"/>
        <v>0</v>
      </c>
      <c r="AB746" s="454"/>
      <c r="AC746" s="380">
        <f t="shared" si="429"/>
        <v>0</v>
      </c>
    </row>
    <row r="747" spans="1:36" s="10" customFormat="1" ht="39.75" customHeight="1">
      <c r="A747" s="332" t="s">
        <v>39</v>
      </c>
      <c r="B747" s="326" t="s">
        <v>1254</v>
      </c>
      <c r="C747" s="15" t="s">
        <v>857</v>
      </c>
      <c r="D747" s="554"/>
      <c r="E747" s="332"/>
      <c r="F747" s="471"/>
      <c r="G747" s="471"/>
      <c r="H747" s="332"/>
      <c r="I747" s="471"/>
      <c r="J747" s="331"/>
      <c r="K747" s="331"/>
      <c r="L747" s="331"/>
      <c r="M747" s="331"/>
      <c r="N747" s="331"/>
      <c r="O747" s="331"/>
      <c r="P747" s="331"/>
      <c r="Q747" s="331"/>
      <c r="R747" s="331"/>
      <c r="S747" s="331"/>
      <c r="T747" s="331"/>
      <c r="U747" s="331"/>
      <c r="V747" s="331"/>
      <c r="W747" s="331"/>
      <c r="X747" s="331"/>
      <c r="Y747" s="331"/>
      <c r="Z747" s="331"/>
      <c r="AA747" s="331"/>
      <c r="AB747" s="332"/>
      <c r="AC747" s="380">
        <f t="shared" si="429"/>
        <v>0</v>
      </c>
    </row>
    <row r="748" spans="1:36" s="10" customFormat="1" ht="48" customHeight="1">
      <c r="A748" s="398" t="s">
        <v>467</v>
      </c>
      <c r="B748" s="326" t="s">
        <v>56</v>
      </c>
      <c r="C748" s="15" t="s">
        <v>857</v>
      </c>
      <c r="D748" s="473"/>
      <c r="E748" s="473"/>
      <c r="F748" s="473"/>
      <c r="G748" s="328"/>
      <c r="H748" s="473"/>
      <c r="I748" s="473"/>
      <c r="J748" s="436">
        <f t="shared" ref="J748:AA748" si="438">SUM(J749:J752)</f>
        <v>152773</v>
      </c>
      <c r="K748" s="436">
        <f t="shared" si="438"/>
        <v>0</v>
      </c>
      <c r="L748" s="436">
        <f t="shared" si="438"/>
        <v>0</v>
      </c>
      <c r="M748" s="436">
        <f t="shared" si="438"/>
        <v>152773</v>
      </c>
      <c r="N748" s="436">
        <f t="shared" si="438"/>
        <v>121520</v>
      </c>
      <c r="O748" s="436">
        <f t="shared" si="438"/>
        <v>0</v>
      </c>
      <c r="P748" s="436">
        <f t="shared" si="438"/>
        <v>0</v>
      </c>
      <c r="Q748" s="436">
        <f t="shared" si="438"/>
        <v>121520</v>
      </c>
      <c r="R748" s="436">
        <f t="shared" si="438"/>
        <v>121519</v>
      </c>
      <c r="S748" s="436">
        <f t="shared" si="438"/>
        <v>0</v>
      </c>
      <c r="T748" s="436">
        <f t="shared" si="438"/>
        <v>0</v>
      </c>
      <c r="U748" s="436">
        <f t="shared" si="438"/>
        <v>121519</v>
      </c>
      <c r="V748" s="436">
        <f t="shared" si="438"/>
        <v>30018</v>
      </c>
      <c r="W748" s="436">
        <f t="shared" si="438"/>
        <v>27895.727999999999</v>
      </c>
      <c r="X748" s="436">
        <f t="shared" si="438"/>
        <v>26445.727999999999</v>
      </c>
      <c r="Y748" s="436">
        <f t="shared" si="438"/>
        <v>0</v>
      </c>
      <c r="Z748" s="436">
        <f t="shared" si="438"/>
        <v>1450</v>
      </c>
      <c r="AA748" s="436">
        <f t="shared" si="438"/>
        <v>0</v>
      </c>
      <c r="AB748" s="437"/>
      <c r="AC748" s="380">
        <f t="shared" si="429"/>
        <v>0</v>
      </c>
    </row>
    <row r="749" spans="1:36" s="7" customFormat="1" ht="82.5" customHeight="1">
      <c r="A749" s="430" t="s">
        <v>144</v>
      </c>
      <c r="B749" s="27" t="s">
        <v>858</v>
      </c>
      <c r="C749" s="15" t="s">
        <v>857</v>
      </c>
      <c r="D749" s="487">
        <v>7862213</v>
      </c>
      <c r="E749" s="487"/>
      <c r="F749" s="313" t="s">
        <v>859</v>
      </c>
      <c r="G749" s="33"/>
      <c r="H749" s="27" t="s">
        <v>437</v>
      </c>
      <c r="I749" s="13" t="s">
        <v>860</v>
      </c>
      <c r="J749" s="488">
        <v>45799</v>
      </c>
      <c r="K749" s="33"/>
      <c r="L749" s="33"/>
      <c r="M749" s="488">
        <v>45799</v>
      </c>
      <c r="N749" s="44">
        <v>38000</v>
      </c>
      <c r="O749" s="33"/>
      <c r="P749" s="33"/>
      <c r="Q749" s="44">
        <v>38000</v>
      </c>
      <c r="R749" s="44">
        <v>37999</v>
      </c>
      <c r="S749" s="33"/>
      <c r="T749" s="33"/>
      <c r="U749" s="44">
        <f>38000-1</f>
        <v>37999</v>
      </c>
      <c r="V749" s="44">
        <v>7800</v>
      </c>
      <c r="W749" s="96">
        <f>SUM(X749:AA749)</f>
        <v>7800</v>
      </c>
      <c r="X749" s="96">
        <v>7800</v>
      </c>
      <c r="Y749" s="96"/>
      <c r="Z749" s="96"/>
      <c r="AA749" s="96"/>
      <c r="AB749" s="349" t="s">
        <v>1622</v>
      </c>
      <c r="AC749" s="380">
        <f t="shared" si="429"/>
        <v>0</v>
      </c>
      <c r="AJ749" s="7" t="s">
        <v>685</v>
      </c>
    </row>
    <row r="750" spans="1:36" s="8" customFormat="1" ht="81" customHeight="1">
      <c r="A750" s="430" t="s">
        <v>144</v>
      </c>
      <c r="B750" s="15" t="s">
        <v>861</v>
      </c>
      <c r="C750" s="15" t="s">
        <v>857</v>
      </c>
      <c r="D750" s="347">
        <v>7729625</v>
      </c>
      <c r="E750" s="347"/>
      <c r="F750" s="313" t="s">
        <v>859</v>
      </c>
      <c r="G750" s="13"/>
      <c r="H750" s="347" t="s">
        <v>440</v>
      </c>
      <c r="I750" s="13" t="s">
        <v>862</v>
      </c>
      <c r="J750" s="12">
        <v>13516</v>
      </c>
      <c r="K750" s="12"/>
      <c r="L750" s="12"/>
      <c r="M750" s="12">
        <v>13516</v>
      </c>
      <c r="N750" s="12">
        <v>11320</v>
      </c>
      <c r="O750" s="12"/>
      <c r="P750" s="12"/>
      <c r="Q750" s="12">
        <v>11320</v>
      </c>
      <c r="R750" s="12">
        <f>+U750</f>
        <v>11320</v>
      </c>
      <c r="S750" s="12"/>
      <c r="T750" s="12"/>
      <c r="U750" s="12">
        <v>11320</v>
      </c>
      <c r="V750" s="44">
        <v>2096</v>
      </c>
      <c r="W750" s="96">
        <f t="shared" ref="W750:W752" si="439">SUM(X750:AA750)</f>
        <v>2096</v>
      </c>
      <c r="X750" s="12">
        <v>2096</v>
      </c>
      <c r="Y750" s="12"/>
      <c r="Z750" s="12"/>
      <c r="AA750" s="12"/>
      <c r="AB750" s="349" t="s">
        <v>1622</v>
      </c>
      <c r="AC750" s="380">
        <f t="shared" si="429"/>
        <v>0</v>
      </c>
      <c r="AJ750" s="7" t="s">
        <v>685</v>
      </c>
    </row>
    <row r="751" spans="1:36" s="8" customFormat="1" ht="48" customHeight="1">
      <c r="A751" s="430" t="s">
        <v>144</v>
      </c>
      <c r="B751" s="15" t="s">
        <v>863</v>
      </c>
      <c r="C751" s="15" t="s">
        <v>857</v>
      </c>
      <c r="D751" s="347"/>
      <c r="E751" s="347"/>
      <c r="F751" s="13" t="s">
        <v>864</v>
      </c>
      <c r="G751" s="13"/>
      <c r="H751" s="347" t="s">
        <v>440</v>
      </c>
      <c r="I751" s="13" t="s">
        <v>865</v>
      </c>
      <c r="J751" s="12">
        <v>56458</v>
      </c>
      <c r="K751" s="12"/>
      <c r="L751" s="12"/>
      <c r="M751" s="12">
        <v>56458</v>
      </c>
      <c r="N751" s="407">
        <v>52200</v>
      </c>
      <c r="O751" s="12"/>
      <c r="P751" s="12"/>
      <c r="Q751" s="407">
        <v>52200</v>
      </c>
      <c r="R751" s="407">
        <v>52200</v>
      </c>
      <c r="S751" s="12"/>
      <c r="T751" s="12"/>
      <c r="U751" s="407">
        <v>52200</v>
      </c>
      <c r="V751" s="407">
        <v>3122</v>
      </c>
      <c r="W751" s="96">
        <f t="shared" si="439"/>
        <v>1000</v>
      </c>
      <c r="X751" s="407">
        <v>1000</v>
      </c>
      <c r="Y751" s="407"/>
      <c r="Z751" s="407"/>
      <c r="AA751" s="407"/>
      <c r="AB751" s="349" t="s">
        <v>1622</v>
      </c>
      <c r="AC751" s="380">
        <f t="shared" si="429"/>
        <v>0</v>
      </c>
      <c r="AJ751" s="7" t="s">
        <v>685</v>
      </c>
    </row>
    <row r="752" spans="1:36" s="8" customFormat="1" ht="49.5" customHeight="1">
      <c r="A752" s="430" t="s">
        <v>144</v>
      </c>
      <c r="B752" s="15" t="s">
        <v>866</v>
      </c>
      <c r="C752" s="15" t="s">
        <v>857</v>
      </c>
      <c r="D752" s="347"/>
      <c r="E752" s="347"/>
      <c r="F752" s="13" t="s">
        <v>867</v>
      </c>
      <c r="G752" s="13"/>
      <c r="H752" s="347" t="s">
        <v>44</v>
      </c>
      <c r="I752" s="13" t="s">
        <v>868</v>
      </c>
      <c r="J752" s="12">
        <v>37000</v>
      </c>
      <c r="K752" s="12"/>
      <c r="L752" s="12"/>
      <c r="M752" s="12">
        <v>37000</v>
      </c>
      <c r="N752" s="407">
        <v>20000</v>
      </c>
      <c r="O752" s="12"/>
      <c r="P752" s="12"/>
      <c r="Q752" s="407">
        <v>20000</v>
      </c>
      <c r="R752" s="407">
        <v>20000</v>
      </c>
      <c r="S752" s="12"/>
      <c r="T752" s="12"/>
      <c r="U752" s="407">
        <v>20000</v>
      </c>
      <c r="V752" s="407">
        <v>17000</v>
      </c>
      <c r="W752" s="96">
        <f t="shared" si="439"/>
        <v>16999.727999999999</v>
      </c>
      <c r="X752" s="407">
        <f>17000-1450-0.272</f>
        <v>15549.727999999999</v>
      </c>
      <c r="Y752" s="407"/>
      <c r="Z752" s="407">
        <v>1450</v>
      </c>
      <c r="AA752" s="407"/>
      <c r="AB752" s="349" t="s">
        <v>1622</v>
      </c>
      <c r="AC752" s="380">
        <f t="shared" si="429"/>
        <v>0</v>
      </c>
      <c r="AJ752" s="7" t="s">
        <v>685</v>
      </c>
    </row>
    <row r="753" spans="1:36" s="10" customFormat="1" ht="30.75" customHeight="1">
      <c r="A753" s="398" t="s">
        <v>1306</v>
      </c>
      <c r="B753" s="413" t="s">
        <v>1307</v>
      </c>
      <c r="C753" s="15" t="s">
        <v>857</v>
      </c>
      <c r="D753" s="459"/>
      <c r="E753" s="460"/>
      <c r="F753" s="328"/>
      <c r="G753" s="424"/>
      <c r="H753" s="415"/>
      <c r="I753" s="328"/>
      <c r="J753" s="436"/>
      <c r="K753" s="436"/>
      <c r="L753" s="436"/>
      <c r="M753" s="436"/>
      <c r="N753" s="436"/>
      <c r="O753" s="436"/>
      <c r="P753" s="436"/>
      <c r="Q753" s="436"/>
      <c r="R753" s="436"/>
      <c r="S753" s="436"/>
      <c r="T753" s="436"/>
      <c r="U753" s="436"/>
      <c r="V753" s="436"/>
      <c r="W753" s="436"/>
      <c r="X753" s="436"/>
      <c r="Y753" s="436"/>
      <c r="Z753" s="436"/>
      <c r="AA753" s="436"/>
      <c r="AB753" s="437"/>
      <c r="AC753" s="380">
        <f t="shared" si="429"/>
        <v>0</v>
      </c>
    </row>
    <row r="754" spans="1:36" s="231" customFormat="1" ht="39" customHeight="1">
      <c r="A754" s="426" t="s">
        <v>1341</v>
      </c>
      <c r="B754" s="317" t="s">
        <v>869</v>
      </c>
      <c r="C754" s="317" t="s">
        <v>869</v>
      </c>
      <c r="D754" s="306"/>
      <c r="E754" s="306"/>
      <c r="F754" s="306"/>
      <c r="G754" s="320"/>
      <c r="H754" s="306"/>
      <c r="I754" s="306"/>
      <c r="J754" s="14">
        <f t="shared" ref="J754:AA754" si="440">J755</f>
        <v>191000</v>
      </c>
      <c r="K754" s="14">
        <f t="shared" si="440"/>
        <v>0</v>
      </c>
      <c r="L754" s="14">
        <f t="shared" si="440"/>
        <v>0</v>
      </c>
      <c r="M754" s="14">
        <f t="shared" si="440"/>
        <v>191000</v>
      </c>
      <c r="N754" s="14">
        <f t="shared" si="440"/>
        <v>64363.625999999997</v>
      </c>
      <c r="O754" s="14">
        <f t="shared" si="440"/>
        <v>0</v>
      </c>
      <c r="P754" s="14">
        <f t="shared" si="440"/>
        <v>0</v>
      </c>
      <c r="Q754" s="14">
        <f t="shared" si="440"/>
        <v>64363.625999999997</v>
      </c>
      <c r="R754" s="14">
        <f t="shared" si="440"/>
        <v>123279.98669000001</v>
      </c>
      <c r="S754" s="14">
        <f t="shared" si="440"/>
        <v>0</v>
      </c>
      <c r="T754" s="14">
        <f t="shared" si="440"/>
        <v>0</v>
      </c>
      <c r="U754" s="14">
        <f t="shared" si="440"/>
        <v>123279.98669000001</v>
      </c>
      <c r="V754" s="14">
        <f t="shared" si="440"/>
        <v>63435.214999999997</v>
      </c>
      <c r="W754" s="14">
        <f t="shared" si="440"/>
        <v>60502</v>
      </c>
      <c r="X754" s="14">
        <f t="shared" si="440"/>
        <v>60502</v>
      </c>
      <c r="Y754" s="14">
        <f t="shared" si="440"/>
        <v>0</v>
      </c>
      <c r="Z754" s="14">
        <f t="shared" si="440"/>
        <v>0</v>
      </c>
      <c r="AA754" s="14">
        <f t="shared" si="440"/>
        <v>0</v>
      </c>
      <c r="AB754" s="102"/>
      <c r="AC754" s="380">
        <f t="shared" si="429"/>
        <v>0</v>
      </c>
    </row>
    <row r="755" spans="1:36" s="422" customFormat="1" ht="29.25" customHeight="1">
      <c r="A755" s="495" t="s">
        <v>1342</v>
      </c>
      <c r="B755" s="394" t="s">
        <v>38</v>
      </c>
      <c r="C755" s="15" t="s">
        <v>869</v>
      </c>
      <c r="D755" s="722"/>
      <c r="E755" s="722"/>
      <c r="F755" s="722"/>
      <c r="G755" s="421"/>
      <c r="H755" s="722"/>
      <c r="I755" s="722"/>
      <c r="J755" s="453">
        <f t="shared" ref="J755:AA755" si="441">J757+J756+J764</f>
        <v>191000</v>
      </c>
      <c r="K755" s="453">
        <f t="shared" si="441"/>
        <v>0</v>
      </c>
      <c r="L755" s="453">
        <f t="shared" si="441"/>
        <v>0</v>
      </c>
      <c r="M755" s="453">
        <f t="shared" si="441"/>
        <v>191000</v>
      </c>
      <c r="N755" s="453">
        <f t="shared" si="441"/>
        <v>64363.625999999997</v>
      </c>
      <c r="O755" s="453">
        <f t="shared" si="441"/>
        <v>0</v>
      </c>
      <c r="P755" s="453">
        <f t="shared" si="441"/>
        <v>0</v>
      </c>
      <c r="Q755" s="453">
        <f t="shared" si="441"/>
        <v>64363.625999999997</v>
      </c>
      <c r="R755" s="453">
        <f t="shared" si="441"/>
        <v>123279.98669000001</v>
      </c>
      <c r="S755" s="453">
        <f t="shared" si="441"/>
        <v>0</v>
      </c>
      <c r="T755" s="453">
        <f t="shared" si="441"/>
        <v>0</v>
      </c>
      <c r="U755" s="453">
        <f t="shared" si="441"/>
        <v>123279.98669000001</v>
      </c>
      <c r="V755" s="453">
        <f t="shared" si="441"/>
        <v>63435.214999999997</v>
      </c>
      <c r="W755" s="453">
        <f t="shared" si="441"/>
        <v>60502</v>
      </c>
      <c r="X755" s="453">
        <f t="shared" si="441"/>
        <v>60502</v>
      </c>
      <c r="Y755" s="453">
        <f t="shared" si="441"/>
        <v>0</v>
      </c>
      <c r="Z755" s="453">
        <f t="shared" si="441"/>
        <v>0</v>
      </c>
      <c r="AA755" s="453">
        <f t="shared" si="441"/>
        <v>0</v>
      </c>
      <c r="AB755" s="454"/>
      <c r="AC755" s="380">
        <f t="shared" si="429"/>
        <v>0</v>
      </c>
    </row>
    <row r="756" spans="1:36" s="10" customFormat="1" ht="39.75" customHeight="1">
      <c r="A756" s="332" t="s">
        <v>39</v>
      </c>
      <c r="B756" s="326" t="s">
        <v>1254</v>
      </c>
      <c r="C756" s="15" t="s">
        <v>869</v>
      </c>
      <c r="D756" s="554"/>
      <c r="E756" s="332"/>
      <c r="F756" s="471"/>
      <c r="G756" s="471"/>
      <c r="H756" s="332"/>
      <c r="I756" s="471"/>
      <c r="J756" s="331"/>
      <c r="K756" s="331"/>
      <c r="L756" s="331"/>
      <c r="M756" s="331"/>
      <c r="N756" s="331"/>
      <c r="O756" s="331"/>
      <c r="P756" s="331"/>
      <c r="Q756" s="331"/>
      <c r="R756" s="331"/>
      <c r="S756" s="331"/>
      <c r="T756" s="331"/>
      <c r="U756" s="331"/>
      <c r="V756" s="331"/>
      <c r="W756" s="331"/>
      <c r="X756" s="331"/>
      <c r="Y756" s="331"/>
      <c r="Z756" s="331"/>
      <c r="AA756" s="331"/>
      <c r="AB756" s="332"/>
      <c r="AC756" s="380">
        <f t="shared" si="429"/>
        <v>0</v>
      </c>
    </row>
    <row r="757" spans="1:36" s="10" customFormat="1" ht="43.5" customHeight="1">
      <c r="A757" s="398" t="s">
        <v>467</v>
      </c>
      <c r="B757" s="326" t="s">
        <v>56</v>
      </c>
      <c r="C757" s="15" t="s">
        <v>869</v>
      </c>
      <c r="D757" s="473"/>
      <c r="E757" s="473"/>
      <c r="F757" s="473"/>
      <c r="G757" s="328"/>
      <c r="H757" s="473"/>
      <c r="I757" s="473"/>
      <c r="J757" s="436">
        <f t="shared" ref="J757:AA757" si="442">SUM(J758:J763)</f>
        <v>191000</v>
      </c>
      <c r="K757" s="436">
        <f t="shared" si="442"/>
        <v>0</v>
      </c>
      <c r="L757" s="436">
        <f t="shared" si="442"/>
        <v>0</v>
      </c>
      <c r="M757" s="436">
        <f t="shared" si="442"/>
        <v>191000</v>
      </c>
      <c r="N757" s="436">
        <f t="shared" si="442"/>
        <v>64363.625999999997</v>
      </c>
      <c r="O757" s="436">
        <f t="shared" si="442"/>
        <v>0</v>
      </c>
      <c r="P757" s="436">
        <f t="shared" si="442"/>
        <v>0</v>
      </c>
      <c r="Q757" s="436">
        <f t="shared" si="442"/>
        <v>64363.625999999997</v>
      </c>
      <c r="R757" s="436">
        <f t="shared" si="442"/>
        <v>123279.98669000001</v>
      </c>
      <c r="S757" s="436">
        <f t="shared" si="442"/>
        <v>0</v>
      </c>
      <c r="T757" s="436">
        <f t="shared" si="442"/>
        <v>0</v>
      </c>
      <c r="U757" s="436">
        <f t="shared" si="442"/>
        <v>123279.98669000001</v>
      </c>
      <c r="V757" s="436">
        <f t="shared" si="442"/>
        <v>63435.214999999997</v>
      </c>
      <c r="W757" s="436">
        <f>SUM(W758:W763)</f>
        <v>60502</v>
      </c>
      <c r="X757" s="436">
        <f t="shared" si="442"/>
        <v>60502</v>
      </c>
      <c r="Y757" s="436">
        <f t="shared" si="442"/>
        <v>0</v>
      </c>
      <c r="Z757" s="436">
        <f t="shared" si="442"/>
        <v>0</v>
      </c>
      <c r="AA757" s="436">
        <f t="shared" si="442"/>
        <v>0</v>
      </c>
      <c r="AB757" s="437"/>
      <c r="AC757" s="380">
        <f t="shared" si="429"/>
        <v>0</v>
      </c>
    </row>
    <row r="758" spans="1:36" s="8" customFormat="1" ht="42" customHeight="1">
      <c r="A758" s="430" t="s">
        <v>144</v>
      </c>
      <c r="B758" s="15" t="s">
        <v>870</v>
      </c>
      <c r="C758" s="15" t="s">
        <v>869</v>
      </c>
      <c r="D758" s="20">
        <v>7897775</v>
      </c>
      <c r="E758" s="20"/>
      <c r="F758" s="20" t="s">
        <v>871</v>
      </c>
      <c r="G758" s="13"/>
      <c r="H758" s="20" t="s">
        <v>207</v>
      </c>
      <c r="I758" s="20" t="s">
        <v>872</v>
      </c>
      <c r="J758" s="12">
        <v>42000</v>
      </c>
      <c r="K758" s="12"/>
      <c r="L758" s="12"/>
      <c r="M758" s="12">
        <v>42000</v>
      </c>
      <c r="N758" s="12">
        <v>8580.4760000000006</v>
      </c>
      <c r="O758" s="12"/>
      <c r="P758" s="12"/>
      <c r="Q758" s="12">
        <v>8580.4760000000006</v>
      </c>
      <c r="R758" s="12">
        <v>26588</v>
      </c>
      <c r="S758" s="12"/>
      <c r="T758" s="12"/>
      <c r="U758" s="12">
        <v>26588</v>
      </c>
      <c r="V758" s="407">
        <v>15412</v>
      </c>
      <c r="W758" s="12">
        <f>SUM(X758:AA758)</f>
        <v>15412</v>
      </c>
      <c r="X758" s="12">
        <v>15412</v>
      </c>
      <c r="Y758" s="12"/>
      <c r="Z758" s="12"/>
      <c r="AA758" s="12"/>
      <c r="AB758" s="349" t="s">
        <v>1622</v>
      </c>
      <c r="AC758" s="380">
        <f t="shared" si="429"/>
        <v>0</v>
      </c>
      <c r="AJ758" s="8" t="s">
        <v>685</v>
      </c>
    </row>
    <row r="759" spans="1:36" s="8" customFormat="1" ht="42" customHeight="1">
      <c r="A759" s="430" t="s">
        <v>144</v>
      </c>
      <c r="B759" s="15" t="s">
        <v>873</v>
      </c>
      <c r="C759" s="15" t="s">
        <v>869</v>
      </c>
      <c r="D759" s="20">
        <v>7864309</v>
      </c>
      <c r="E759" s="20"/>
      <c r="F759" s="20" t="s">
        <v>874</v>
      </c>
      <c r="G759" s="13"/>
      <c r="H759" s="20" t="s">
        <v>41</v>
      </c>
      <c r="I759" s="20" t="s">
        <v>875</v>
      </c>
      <c r="J759" s="12">
        <v>25000</v>
      </c>
      <c r="K759" s="12"/>
      <c r="L759" s="12"/>
      <c r="M759" s="12">
        <v>25000</v>
      </c>
      <c r="N759" s="12">
        <v>9866.8819999999996</v>
      </c>
      <c r="O759" s="12"/>
      <c r="P759" s="12"/>
      <c r="Q759" s="12">
        <v>9866.8819999999996</v>
      </c>
      <c r="R759" s="12">
        <v>16830</v>
      </c>
      <c r="S759" s="12"/>
      <c r="T759" s="12"/>
      <c r="U759" s="12">
        <v>16830</v>
      </c>
      <c r="V759" s="407">
        <v>8170</v>
      </c>
      <c r="W759" s="12">
        <f t="shared" ref="W759:W763" si="443">SUM(X759:AA759)</f>
        <v>8170</v>
      </c>
      <c r="X759" s="12">
        <v>8170</v>
      </c>
      <c r="Y759" s="12"/>
      <c r="Z759" s="12"/>
      <c r="AA759" s="12"/>
      <c r="AB759" s="349" t="s">
        <v>1622</v>
      </c>
      <c r="AC759" s="380">
        <f t="shared" si="429"/>
        <v>0</v>
      </c>
      <c r="AJ759" s="8" t="s">
        <v>685</v>
      </c>
    </row>
    <row r="760" spans="1:36" s="8" customFormat="1" ht="42" customHeight="1">
      <c r="A760" s="430" t="s">
        <v>144</v>
      </c>
      <c r="B760" s="15" t="s">
        <v>876</v>
      </c>
      <c r="C760" s="15" t="s">
        <v>869</v>
      </c>
      <c r="D760" s="20">
        <v>7960370</v>
      </c>
      <c r="E760" s="20"/>
      <c r="F760" s="20" t="s">
        <v>877</v>
      </c>
      <c r="G760" s="13"/>
      <c r="H760" s="20" t="s">
        <v>44</v>
      </c>
      <c r="I760" s="20" t="s">
        <v>878</v>
      </c>
      <c r="J760" s="12">
        <v>38000</v>
      </c>
      <c r="K760" s="12"/>
      <c r="L760" s="12"/>
      <c r="M760" s="12">
        <v>38000</v>
      </c>
      <c r="N760" s="12">
        <v>9775.0619999999999</v>
      </c>
      <c r="O760" s="12"/>
      <c r="P760" s="12"/>
      <c r="Q760" s="12">
        <v>9775.0619999999999</v>
      </c>
      <c r="R760" s="12">
        <v>28000.44369</v>
      </c>
      <c r="S760" s="12"/>
      <c r="T760" s="12"/>
      <c r="U760" s="12">
        <f>29889.44369-1889</f>
        <v>28000.44369</v>
      </c>
      <c r="V760" s="12">
        <v>10000</v>
      </c>
      <c r="W760" s="12">
        <f t="shared" si="443"/>
        <v>10000</v>
      </c>
      <c r="X760" s="12">
        <v>10000</v>
      </c>
      <c r="Y760" s="12"/>
      <c r="Z760" s="12"/>
      <c r="AA760" s="12"/>
      <c r="AB760" s="349" t="s">
        <v>1622</v>
      </c>
      <c r="AC760" s="380">
        <f t="shared" si="429"/>
        <v>0</v>
      </c>
      <c r="AJ760" s="8" t="s">
        <v>685</v>
      </c>
    </row>
    <row r="761" spans="1:36" s="8" customFormat="1" ht="42" customHeight="1">
      <c r="A761" s="430" t="s">
        <v>144</v>
      </c>
      <c r="B761" s="15" t="s">
        <v>879</v>
      </c>
      <c r="C761" s="15" t="s">
        <v>869</v>
      </c>
      <c r="D761" s="20">
        <v>7960371</v>
      </c>
      <c r="E761" s="20"/>
      <c r="F761" s="20" t="s">
        <v>877</v>
      </c>
      <c r="G761" s="13"/>
      <c r="H761" s="20" t="s">
        <v>44</v>
      </c>
      <c r="I761" s="20" t="s">
        <v>880</v>
      </c>
      <c r="J761" s="12">
        <v>31000</v>
      </c>
      <c r="K761" s="12"/>
      <c r="L761" s="12"/>
      <c r="M761" s="12">
        <v>31000</v>
      </c>
      <c r="N761" s="12">
        <v>9153.7970000000005</v>
      </c>
      <c r="O761" s="12"/>
      <c r="P761" s="12"/>
      <c r="Q761" s="12">
        <v>9153.7970000000005</v>
      </c>
      <c r="R761" s="12">
        <f>25146.785-4147</f>
        <v>20999.785</v>
      </c>
      <c r="S761" s="12"/>
      <c r="T761" s="12"/>
      <c r="U761" s="12">
        <f>25146.785-4147</f>
        <v>20999.785</v>
      </c>
      <c r="V761" s="407">
        <v>12853.215</v>
      </c>
      <c r="W761" s="12">
        <f t="shared" si="443"/>
        <v>10000</v>
      </c>
      <c r="X761" s="12">
        <v>10000</v>
      </c>
      <c r="Y761" s="12"/>
      <c r="Z761" s="12"/>
      <c r="AA761" s="12"/>
      <c r="AB761" s="349" t="s">
        <v>1622</v>
      </c>
      <c r="AC761" s="380">
        <f t="shared" si="429"/>
        <v>0</v>
      </c>
      <c r="AJ761" s="8" t="s">
        <v>685</v>
      </c>
    </row>
    <row r="762" spans="1:36" s="8" customFormat="1" ht="49.5" customHeight="1">
      <c r="A762" s="430" t="s">
        <v>144</v>
      </c>
      <c r="B762" s="15" t="s">
        <v>881</v>
      </c>
      <c r="C762" s="15" t="s">
        <v>869</v>
      </c>
      <c r="D762" s="20">
        <v>7960368</v>
      </c>
      <c r="E762" s="20"/>
      <c r="F762" s="20" t="s">
        <v>877</v>
      </c>
      <c r="G762" s="13"/>
      <c r="H762" s="20" t="s">
        <v>44</v>
      </c>
      <c r="I762" s="20" t="s">
        <v>882</v>
      </c>
      <c r="J762" s="12">
        <v>20000</v>
      </c>
      <c r="K762" s="12"/>
      <c r="L762" s="12"/>
      <c r="M762" s="12">
        <v>20000</v>
      </c>
      <c r="N762" s="12">
        <v>11125.651</v>
      </c>
      <c r="O762" s="12"/>
      <c r="P762" s="12"/>
      <c r="Q762" s="12">
        <v>11125.651</v>
      </c>
      <c r="R762" s="12">
        <f>20000-5000</f>
        <v>15000</v>
      </c>
      <c r="S762" s="12"/>
      <c r="T762" s="12"/>
      <c r="U762" s="12">
        <f>20000-5000</f>
        <v>15000</v>
      </c>
      <c r="V762" s="407">
        <v>5000</v>
      </c>
      <c r="W762" s="12">
        <f t="shared" si="443"/>
        <v>5000</v>
      </c>
      <c r="X762" s="12">
        <v>5000</v>
      </c>
      <c r="Y762" s="12"/>
      <c r="Z762" s="12"/>
      <c r="AA762" s="12"/>
      <c r="AB762" s="349" t="s">
        <v>1622</v>
      </c>
      <c r="AC762" s="380">
        <f t="shared" si="429"/>
        <v>0</v>
      </c>
      <c r="AJ762" s="8" t="s">
        <v>685</v>
      </c>
    </row>
    <row r="763" spans="1:36" s="8" customFormat="1" ht="66.75" customHeight="1">
      <c r="A763" s="430" t="s">
        <v>144</v>
      </c>
      <c r="B763" s="15" t="s">
        <v>883</v>
      </c>
      <c r="C763" s="15" t="s">
        <v>869</v>
      </c>
      <c r="D763" s="20">
        <v>7869532</v>
      </c>
      <c r="E763" s="20"/>
      <c r="F763" s="20" t="s">
        <v>884</v>
      </c>
      <c r="G763" s="13"/>
      <c r="H763" s="20" t="s">
        <v>73</v>
      </c>
      <c r="I763" s="20" t="s">
        <v>885</v>
      </c>
      <c r="J763" s="12">
        <v>35000</v>
      </c>
      <c r="K763" s="12"/>
      <c r="L763" s="12"/>
      <c r="M763" s="12">
        <v>35000</v>
      </c>
      <c r="N763" s="12">
        <v>15861.758</v>
      </c>
      <c r="O763" s="12"/>
      <c r="P763" s="12"/>
      <c r="Q763" s="12">
        <v>15861.758</v>
      </c>
      <c r="R763" s="12">
        <v>15861.758</v>
      </c>
      <c r="S763" s="12"/>
      <c r="T763" s="12"/>
      <c r="U763" s="12">
        <v>15861.758</v>
      </c>
      <c r="V763" s="407">
        <v>12000</v>
      </c>
      <c r="W763" s="12">
        <f t="shared" si="443"/>
        <v>11920</v>
      </c>
      <c r="X763" s="12">
        <v>11920</v>
      </c>
      <c r="Y763" s="12"/>
      <c r="Z763" s="12"/>
      <c r="AA763" s="12"/>
      <c r="AB763" s="349" t="s">
        <v>1622</v>
      </c>
      <c r="AC763" s="380">
        <f t="shared" si="429"/>
        <v>0</v>
      </c>
      <c r="AJ763" s="8" t="s">
        <v>685</v>
      </c>
    </row>
    <row r="764" spans="1:36" s="10" customFormat="1" ht="30.75" customHeight="1">
      <c r="A764" s="398" t="s">
        <v>1306</v>
      </c>
      <c r="B764" s="413" t="s">
        <v>1307</v>
      </c>
      <c r="C764" s="15" t="s">
        <v>869</v>
      </c>
      <c r="D764" s="459"/>
      <c r="E764" s="460"/>
      <c r="F764" s="328"/>
      <c r="G764" s="424"/>
      <c r="H764" s="415"/>
      <c r="I764" s="328"/>
      <c r="J764" s="436"/>
      <c r="K764" s="436"/>
      <c r="L764" s="436"/>
      <c r="M764" s="436"/>
      <c r="N764" s="436"/>
      <c r="O764" s="436"/>
      <c r="P764" s="436"/>
      <c r="Q764" s="436"/>
      <c r="R764" s="436"/>
      <c r="S764" s="436"/>
      <c r="T764" s="436"/>
      <c r="U764" s="436"/>
      <c r="V764" s="436"/>
      <c r="W764" s="436"/>
      <c r="X764" s="436"/>
      <c r="Y764" s="436"/>
      <c r="Z764" s="436"/>
      <c r="AA764" s="436"/>
      <c r="AB764" s="437"/>
      <c r="AC764" s="380">
        <f t="shared" si="429"/>
        <v>0</v>
      </c>
    </row>
    <row r="765" spans="1:36" s="8" customFormat="1" ht="37.5" customHeight="1">
      <c r="A765" s="426" t="s">
        <v>1343</v>
      </c>
      <c r="B765" s="317" t="s">
        <v>694</v>
      </c>
      <c r="C765" s="317" t="s">
        <v>694</v>
      </c>
      <c r="D765" s="20"/>
      <c r="E765" s="20"/>
      <c r="F765" s="20"/>
      <c r="G765" s="13"/>
      <c r="H765" s="20"/>
      <c r="I765" s="20"/>
      <c r="J765" s="14">
        <f t="shared" ref="J765:AA765" si="444">J766</f>
        <v>157318</v>
      </c>
      <c r="K765" s="14">
        <f t="shared" si="444"/>
        <v>0</v>
      </c>
      <c r="L765" s="14">
        <f t="shared" si="444"/>
        <v>0</v>
      </c>
      <c r="M765" s="14">
        <f t="shared" si="444"/>
        <v>157318</v>
      </c>
      <c r="N765" s="14">
        <f t="shared" si="444"/>
        <v>103200</v>
      </c>
      <c r="O765" s="14">
        <f t="shared" si="444"/>
        <v>0</v>
      </c>
      <c r="P765" s="14">
        <f t="shared" si="444"/>
        <v>0</v>
      </c>
      <c r="Q765" s="14">
        <f t="shared" si="444"/>
        <v>103200</v>
      </c>
      <c r="R765" s="14">
        <f t="shared" si="444"/>
        <v>104200</v>
      </c>
      <c r="S765" s="14">
        <f t="shared" si="444"/>
        <v>0</v>
      </c>
      <c r="T765" s="14">
        <f t="shared" si="444"/>
        <v>0</v>
      </c>
      <c r="U765" s="14">
        <f t="shared" si="444"/>
        <v>104200</v>
      </c>
      <c r="V765" s="14">
        <f t="shared" si="444"/>
        <v>53118</v>
      </c>
      <c r="W765" s="14">
        <f t="shared" si="444"/>
        <v>53118</v>
      </c>
      <c r="X765" s="14">
        <f t="shared" si="444"/>
        <v>53118</v>
      </c>
      <c r="Y765" s="14">
        <f t="shared" si="444"/>
        <v>0</v>
      </c>
      <c r="Z765" s="14">
        <f t="shared" si="444"/>
        <v>0</v>
      </c>
      <c r="AA765" s="14">
        <f t="shared" si="444"/>
        <v>0</v>
      </c>
      <c r="AB765" s="102"/>
      <c r="AC765" s="380">
        <f t="shared" si="429"/>
        <v>0</v>
      </c>
    </row>
    <row r="766" spans="1:36" s="422" customFormat="1" ht="29.25" customHeight="1">
      <c r="A766" s="495" t="s">
        <v>1344</v>
      </c>
      <c r="B766" s="394" t="s">
        <v>38</v>
      </c>
      <c r="C766" s="15" t="s">
        <v>694</v>
      </c>
      <c r="D766" s="722"/>
      <c r="E766" s="722"/>
      <c r="F766" s="722"/>
      <c r="G766" s="421"/>
      <c r="H766" s="722"/>
      <c r="I766" s="722"/>
      <c r="J766" s="453">
        <f>J767+J768</f>
        <v>157318</v>
      </c>
      <c r="K766" s="453">
        <f t="shared" ref="K766:AA766" si="445">K767+K768</f>
        <v>0</v>
      </c>
      <c r="L766" s="453">
        <f t="shared" si="445"/>
        <v>0</v>
      </c>
      <c r="M766" s="453">
        <f t="shared" si="445"/>
        <v>157318</v>
      </c>
      <c r="N766" s="453">
        <f t="shared" si="445"/>
        <v>103200</v>
      </c>
      <c r="O766" s="453">
        <f t="shared" si="445"/>
        <v>0</v>
      </c>
      <c r="P766" s="453">
        <f t="shared" si="445"/>
        <v>0</v>
      </c>
      <c r="Q766" s="453">
        <f t="shared" si="445"/>
        <v>103200</v>
      </c>
      <c r="R766" s="453">
        <f t="shared" si="445"/>
        <v>104200</v>
      </c>
      <c r="S766" s="453">
        <f t="shared" si="445"/>
        <v>0</v>
      </c>
      <c r="T766" s="453">
        <f t="shared" si="445"/>
        <v>0</v>
      </c>
      <c r="U766" s="453">
        <f t="shared" si="445"/>
        <v>104200</v>
      </c>
      <c r="V766" s="453">
        <f t="shared" si="445"/>
        <v>53118</v>
      </c>
      <c r="W766" s="453">
        <f t="shared" si="445"/>
        <v>53118</v>
      </c>
      <c r="X766" s="453">
        <f t="shared" si="445"/>
        <v>53118</v>
      </c>
      <c r="Y766" s="453">
        <f t="shared" si="445"/>
        <v>0</v>
      </c>
      <c r="Z766" s="453">
        <f t="shared" si="445"/>
        <v>0</v>
      </c>
      <c r="AA766" s="453">
        <f t="shared" si="445"/>
        <v>0</v>
      </c>
      <c r="AB766" s="454"/>
      <c r="AC766" s="380">
        <f t="shared" si="429"/>
        <v>0</v>
      </c>
    </row>
    <row r="767" spans="1:36" s="10" customFormat="1" ht="39.75" customHeight="1">
      <c r="A767" s="332" t="s">
        <v>39</v>
      </c>
      <c r="B767" s="326" t="s">
        <v>1254</v>
      </c>
      <c r="C767" s="15" t="s">
        <v>694</v>
      </c>
      <c r="D767" s="554"/>
      <c r="E767" s="332"/>
      <c r="F767" s="471"/>
      <c r="G767" s="471"/>
      <c r="H767" s="332"/>
      <c r="I767" s="471"/>
      <c r="J767" s="331"/>
      <c r="K767" s="331"/>
      <c r="L767" s="331"/>
      <c r="M767" s="331"/>
      <c r="N767" s="331"/>
      <c r="O767" s="331"/>
      <c r="P767" s="331"/>
      <c r="Q767" s="331"/>
      <c r="R767" s="331"/>
      <c r="S767" s="331"/>
      <c r="T767" s="331"/>
      <c r="U767" s="331"/>
      <c r="V767" s="331"/>
      <c r="W767" s="331"/>
      <c r="X767" s="331"/>
      <c r="Y767" s="331"/>
      <c r="Z767" s="331"/>
      <c r="AA767" s="331"/>
      <c r="AB767" s="332"/>
      <c r="AC767" s="380">
        <f t="shared" si="429"/>
        <v>0</v>
      </c>
    </row>
    <row r="768" spans="1:36" s="10" customFormat="1" ht="40.5" customHeight="1">
      <c r="A768" s="398" t="s">
        <v>467</v>
      </c>
      <c r="B768" s="326" t="s">
        <v>56</v>
      </c>
      <c r="C768" s="15" t="s">
        <v>694</v>
      </c>
      <c r="D768" s="473"/>
      <c r="E768" s="473"/>
      <c r="F768" s="473"/>
      <c r="G768" s="328"/>
      <c r="H768" s="473"/>
      <c r="I768" s="473"/>
      <c r="J768" s="436">
        <f t="shared" ref="J768:AA768" si="446">SUM(J769:J769)</f>
        <v>157318</v>
      </c>
      <c r="K768" s="436">
        <f t="shared" si="446"/>
        <v>0</v>
      </c>
      <c r="L768" s="436">
        <f t="shared" si="446"/>
        <v>0</v>
      </c>
      <c r="M768" s="436">
        <f t="shared" si="446"/>
        <v>157318</v>
      </c>
      <c r="N768" s="436">
        <f t="shared" si="446"/>
        <v>103200</v>
      </c>
      <c r="O768" s="436">
        <f t="shared" si="446"/>
        <v>0</v>
      </c>
      <c r="P768" s="436">
        <f t="shared" si="446"/>
        <v>0</v>
      </c>
      <c r="Q768" s="436">
        <f t="shared" si="446"/>
        <v>103200</v>
      </c>
      <c r="R768" s="436">
        <f t="shared" si="446"/>
        <v>104200</v>
      </c>
      <c r="S768" s="436">
        <f t="shared" si="446"/>
        <v>0</v>
      </c>
      <c r="T768" s="436">
        <f t="shared" si="446"/>
        <v>0</v>
      </c>
      <c r="U768" s="436">
        <f t="shared" si="446"/>
        <v>104200</v>
      </c>
      <c r="V768" s="436">
        <f t="shared" si="446"/>
        <v>53118</v>
      </c>
      <c r="W768" s="436">
        <f t="shared" si="446"/>
        <v>53118</v>
      </c>
      <c r="X768" s="436">
        <f t="shared" si="446"/>
        <v>53118</v>
      </c>
      <c r="Y768" s="436">
        <f t="shared" si="446"/>
        <v>0</v>
      </c>
      <c r="Z768" s="436">
        <f t="shared" si="446"/>
        <v>0</v>
      </c>
      <c r="AA768" s="436">
        <f t="shared" si="446"/>
        <v>0</v>
      </c>
      <c r="AB768" s="437"/>
      <c r="AC768" s="380">
        <f t="shared" si="429"/>
        <v>0</v>
      </c>
    </row>
    <row r="769" spans="1:36" s="8" customFormat="1" ht="56.25" customHeight="1">
      <c r="A769" s="430" t="s">
        <v>144</v>
      </c>
      <c r="B769" s="15" t="s">
        <v>886</v>
      </c>
      <c r="C769" s="15" t="s">
        <v>694</v>
      </c>
      <c r="D769" s="20">
        <v>7871935</v>
      </c>
      <c r="E769" s="20"/>
      <c r="F769" s="20" t="s">
        <v>887</v>
      </c>
      <c r="G769" s="13" t="s">
        <v>888</v>
      </c>
      <c r="H769" s="20" t="s">
        <v>49</v>
      </c>
      <c r="I769" s="20" t="s">
        <v>889</v>
      </c>
      <c r="J769" s="12">
        <v>157318</v>
      </c>
      <c r="K769" s="12"/>
      <c r="L769" s="12"/>
      <c r="M769" s="12">
        <v>157318</v>
      </c>
      <c r="N769" s="12">
        <v>103200</v>
      </c>
      <c r="O769" s="12"/>
      <c r="P769" s="12"/>
      <c r="Q769" s="12">
        <v>103200</v>
      </c>
      <c r="R769" s="12">
        <v>104200</v>
      </c>
      <c r="S769" s="12"/>
      <c r="T769" s="12"/>
      <c r="U769" s="12">
        <v>104200</v>
      </c>
      <c r="V769" s="407">
        <v>53118</v>
      </c>
      <c r="W769" s="12">
        <f>SUM(X769:AA769)</f>
        <v>53118</v>
      </c>
      <c r="X769" s="12">
        <v>53118</v>
      </c>
      <c r="Y769" s="12"/>
      <c r="Z769" s="12"/>
      <c r="AA769" s="12"/>
      <c r="AB769" s="478" t="s">
        <v>1622</v>
      </c>
      <c r="AC769" s="380">
        <f t="shared" si="429"/>
        <v>0</v>
      </c>
      <c r="AJ769" s="8" t="s">
        <v>685</v>
      </c>
    </row>
    <row r="770" spans="1:36" s="231" customFormat="1" ht="41.25" customHeight="1">
      <c r="A770" s="426" t="s">
        <v>1345</v>
      </c>
      <c r="B770" s="317" t="s">
        <v>696</v>
      </c>
      <c r="C770" s="317" t="s">
        <v>696</v>
      </c>
      <c r="D770" s="306"/>
      <c r="E770" s="306"/>
      <c r="F770" s="306"/>
      <c r="G770" s="320"/>
      <c r="H770" s="306"/>
      <c r="I770" s="306"/>
      <c r="J770" s="14">
        <f t="shared" ref="J770:AA770" si="447">J771</f>
        <v>710685</v>
      </c>
      <c r="K770" s="14">
        <f t="shared" si="447"/>
        <v>0</v>
      </c>
      <c r="L770" s="14">
        <f t="shared" si="447"/>
        <v>0</v>
      </c>
      <c r="M770" s="14">
        <f t="shared" si="447"/>
        <v>710685</v>
      </c>
      <c r="N770" s="14">
        <f t="shared" si="447"/>
        <v>397696</v>
      </c>
      <c r="O770" s="14">
        <f t="shared" si="447"/>
        <v>0</v>
      </c>
      <c r="P770" s="14">
        <f t="shared" si="447"/>
        <v>0</v>
      </c>
      <c r="Q770" s="14">
        <f t="shared" si="447"/>
        <v>397696</v>
      </c>
      <c r="R770" s="14">
        <f t="shared" si="447"/>
        <v>418237</v>
      </c>
      <c r="S770" s="14">
        <f t="shared" si="447"/>
        <v>0</v>
      </c>
      <c r="T770" s="14">
        <f t="shared" si="447"/>
        <v>0</v>
      </c>
      <c r="U770" s="14">
        <f t="shared" si="447"/>
        <v>418237</v>
      </c>
      <c r="V770" s="14">
        <f t="shared" si="447"/>
        <v>272209</v>
      </c>
      <c r="W770" s="14">
        <f t="shared" si="447"/>
        <v>262192</v>
      </c>
      <c r="X770" s="14">
        <f t="shared" si="447"/>
        <v>0</v>
      </c>
      <c r="Y770" s="14">
        <f t="shared" si="447"/>
        <v>127590</v>
      </c>
      <c r="Z770" s="14">
        <f t="shared" si="447"/>
        <v>134602</v>
      </c>
      <c r="AA770" s="14">
        <f t="shared" si="447"/>
        <v>0</v>
      </c>
      <c r="AB770" s="102"/>
      <c r="AC770" s="380">
        <f t="shared" si="429"/>
        <v>0</v>
      </c>
    </row>
    <row r="771" spans="1:36" s="422" customFormat="1" ht="27.75" customHeight="1">
      <c r="A771" s="495" t="s">
        <v>1346</v>
      </c>
      <c r="B771" s="394" t="s">
        <v>38</v>
      </c>
      <c r="C771" s="15" t="s">
        <v>696</v>
      </c>
      <c r="D771" s="722"/>
      <c r="E771" s="722"/>
      <c r="F771" s="722"/>
      <c r="G771" s="421"/>
      <c r="H771" s="722"/>
      <c r="I771" s="722"/>
      <c r="J771" s="453">
        <f t="shared" ref="J771:AA771" si="448">J773+J785+J772</f>
        <v>710685</v>
      </c>
      <c r="K771" s="453">
        <f t="shared" si="448"/>
        <v>0</v>
      </c>
      <c r="L771" s="453">
        <f t="shared" si="448"/>
        <v>0</v>
      </c>
      <c r="M771" s="453">
        <f t="shared" si="448"/>
        <v>710685</v>
      </c>
      <c r="N771" s="453">
        <f t="shared" si="448"/>
        <v>397696</v>
      </c>
      <c r="O771" s="453">
        <f t="shared" si="448"/>
        <v>0</v>
      </c>
      <c r="P771" s="453">
        <f t="shared" si="448"/>
        <v>0</v>
      </c>
      <c r="Q771" s="453">
        <f t="shared" si="448"/>
        <v>397696</v>
      </c>
      <c r="R771" s="453">
        <f t="shared" si="448"/>
        <v>418237</v>
      </c>
      <c r="S771" s="453">
        <f t="shared" si="448"/>
        <v>0</v>
      </c>
      <c r="T771" s="453">
        <f t="shared" si="448"/>
        <v>0</v>
      </c>
      <c r="U771" s="453">
        <f t="shared" si="448"/>
        <v>418237</v>
      </c>
      <c r="V771" s="453">
        <f t="shared" si="448"/>
        <v>272209</v>
      </c>
      <c r="W771" s="453">
        <f t="shared" si="448"/>
        <v>262192</v>
      </c>
      <c r="X771" s="453">
        <f t="shared" si="448"/>
        <v>0</v>
      </c>
      <c r="Y771" s="453">
        <f t="shared" si="448"/>
        <v>127590</v>
      </c>
      <c r="Z771" s="453">
        <f t="shared" si="448"/>
        <v>134602</v>
      </c>
      <c r="AA771" s="453">
        <f t="shared" si="448"/>
        <v>0</v>
      </c>
      <c r="AB771" s="454"/>
      <c r="AC771" s="380">
        <f t="shared" si="429"/>
        <v>0</v>
      </c>
    </row>
    <row r="772" spans="1:36" s="10" customFormat="1" ht="44.25" customHeight="1">
      <c r="A772" s="332" t="s">
        <v>39</v>
      </c>
      <c r="B772" s="326" t="s">
        <v>1254</v>
      </c>
      <c r="C772" s="15" t="s">
        <v>696</v>
      </c>
      <c r="D772" s="554"/>
      <c r="E772" s="332"/>
      <c r="F772" s="471"/>
      <c r="G772" s="471"/>
      <c r="H772" s="332"/>
      <c r="I772" s="471"/>
      <c r="J772" s="331"/>
      <c r="K772" s="331"/>
      <c r="L772" s="331"/>
      <c r="M772" s="331"/>
      <c r="N772" s="331"/>
      <c r="O772" s="331"/>
      <c r="P772" s="331"/>
      <c r="Q772" s="331"/>
      <c r="R772" s="331"/>
      <c r="S772" s="331"/>
      <c r="T772" s="331"/>
      <c r="U772" s="331"/>
      <c r="V772" s="331"/>
      <c r="W772" s="331"/>
      <c r="X772" s="331"/>
      <c r="Y772" s="331"/>
      <c r="Z772" s="331"/>
      <c r="AA772" s="331"/>
      <c r="AB772" s="332"/>
      <c r="AC772" s="380">
        <f t="shared" si="429"/>
        <v>0</v>
      </c>
    </row>
    <row r="773" spans="1:36" s="10" customFormat="1" ht="52.5" customHeight="1">
      <c r="A773" s="398" t="s">
        <v>467</v>
      </c>
      <c r="B773" s="326" t="s">
        <v>56</v>
      </c>
      <c r="C773" s="15" t="s">
        <v>696</v>
      </c>
      <c r="D773" s="473"/>
      <c r="E773" s="473"/>
      <c r="F773" s="473"/>
      <c r="G773" s="328"/>
      <c r="H773" s="473"/>
      <c r="I773" s="473"/>
      <c r="J773" s="436">
        <f t="shared" ref="J773:AA773" si="449">SUM(J774:J784)</f>
        <v>710685</v>
      </c>
      <c r="K773" s="436">
        <f t="shared" si="449"/>
        <v>0</v>
      </c>
      <c r="L773" s="436">
        <f t="shared" si="449"/>
        <v>0</v>
      </c>
      <c r="M773" s="436">
        <f t="shared" si="449"/>
        <v>710685</v>
      </c>
      <c r="N773" s="436">
        <f t="shared" si="449"/>
        <v>397696</v>
      </c>
      <c r="O773" s="436">
        <f t="shared" si="449"/>
        <v>0</v>
      </c>
      <c r="P773" s="436">
        <f t="shared" si="449"/>
        <v>0</v>
      </c>
      <c r="Q773" s="436">
        <f t="shared" si="449"/>
        <v>397696</v>
      </c>
      <c r="R773" s="436">
        <f t="shared" si="449"/>
        <v>418237</v>
      </c>
      <c r="S773" s="436">
        <f t="shared" si="449"/>
        <v>0</v>
      </c>
      <c r="T773" s="436">
        <f t="shared" si="449"/>
        <v>0</v>
      </c>
      <c r="U773" s="436">
        <f t="shared" si="449"/>
        <v>418237</v>
      </c>
      <c r="V773" s="436">
        <f t="shared" si="449"/>
        <v>272209</v>
      </c>
      <c r="W773" s="436">
        <f>SUM(W774:W784)</f>
        <v>262192</v>
      </c>
      <c r="X773" s="436">
        <f t="shared" si="449"/>
        <v>0</v>
      </c>
      <c r="Y773" s="436">
        <f t="shared" si="449"/>
        <v>127590</v>
      </c>
      <c r="Z773" s="436">
        <f t="shared" si="449"/>
        <v>134602</v>
      </c>
      <c r="AA773" s="436">
        <f t="shared" si="449"/>
        <v>0</v>
      </c>
      <c r="AB773" s="437"/>
      <c r="AC773" s="380">
        <f t="shared" si="429"/>
        <v>0</v>
      </c>
    </row>
    <row r="774" spans="1:36" s="8" customFormat="1" ht="75.75" customHeight="1">
      <c r="A774" s="430" t="s">
        <v>144</v>
      </c>
      <c r="B774" s="15" t="s">
        <v>890</v>
      </c>
      <c r="C774" s="15" t="s">
        <v>696</v>
      </c>
      <c r="D774" s="20">
        <v>7869055</v>
      </c>
      <c r="E774" s="20"/>
      <c r="F774" s="20" t="s">
        <v>686</v>
      </c>
      <c r="G774" s="13" t="s">
        <v>891</v>
      </c>
      <c r="H774" s="20" t="s">
        <v>73</v>
      </c>
      <c r="I774" s="20" t="s">
        <v>892</v>
      </c>
      <c r="J774" s="12">
        <v>48750</v>
      </c>
      <c r="K774" s="12"/>
      <c r="L774" s="12"/>
      <c r="M774" s="12">
        <v>48750</v>
      </c>
      <c r="N774" s="12">
        <v>33720</v>
      </c>
      <c r="O774" s="12"/>
      <c r="P774" s="12"/>
      <c r="Q774" s="12">
        <v>33720</v>
      </c>
      <c r="R774" s="12">
        <v>35602</v>
      </c>
      <c r="S774" s="12"/>
      <c r="T774" s="12"/>
      <c r="U774" s="12">
        <v>35602</v>
      </c>
      <c r="V774" s="12">
        <v>8000</v>
      </c>
      <c r="W774" s="12">
        <f>SUM(X774:AA774)</f>
        <v>8000</v>
      </c>
      <c r="X774" s="12"/>
      <c r="Y774" s="12">
        <v>8000</v>
      </c>
      <c r="Z774" s="12"/>
      <c r="AA774" s="12"/>
      <c r="AB774" s="91" t="s">
        <v>1622</v>
      </c>
      <c r="AC774" s="380">
        <f t="shared" si="429"/>
        <v>0</v>
      </c>
      <c r="AJ774" s="8" t="s">
        <v>685</v>
      </c>
    </row>
    <row r="775" spans="1:36" s="8" customFormat="1" ht="71.25" customHeight="1">
      <c r="A775" s="430" t="s">
        <v>144</v>
      </c>
      <c r="B775" s="15" t="s">
        <v>893</v>
      </c>
      <c r="C775" s="15" t="s">
        <v>696</v>
      </c>
      <c r="D775" s="20">
        <v>7869054</v>
      </c>
      <c r="E775" s="20"/>
      <c r="F775" s="20" t="s">
        <v>686</v>
      </c>
      <c r="G775" s="13" t="s">
        <v>894</v>
      </c>
      <c r="H775" s="20" t="s">
        <v>44</v>
      </c>
      <c r="I775" s="20" t="s">
        <v>895</v>
      </c>
      <c r="J775" s="12">
        <v>41204</v>
      </c>
      <c r="K775" s="12"/>
      <c r="L775" s="12"/>
      <c r="M775" s="12">
        <v>41204</v>
      </c>
      <c r="N775" s="12">
        <v>34346</v>
      </c>
      <c r="O775" s="12"/>
      <c r="P775" s="12"/>
      <c r="Q775" s="12">
        <v>34346</v>
      </c>
      <c r="R775" s="12">
        <v>36005</v>
      </c>
      <c r="S775" s="12"/>
      <c r="T775" s="12"/>
      <c r="U775" s="12">
        <v>36005</v>
      </c>
      <c r="V775" s="407">
        <v>10000</v>
      </c>
      <c r="W775" s="12">
        <f t="shared" ref="W775:W784" si="450">SUM(X775:AA775)</f>
        <v>5199</v>
      </c>
      <c r="X775" s="12"/>
      <c r="Y775" s="12">
        <v>5199</v>
      </c>
      <c r="Z775" s="12"/>
      <c r="AA775" s="12"/>
      <c r="AB775" s="91" t="s">
        <v>1622</v>
      </c>
      <c r="AC775" s="380">
        <f t="shared" si="429"/>
        <v>0</v>
      </c>
      <c r="AJ775" s="8" t="s">
        <v>685</v>
      </c>
    </row>
    <row r="776" spans="1:36" s="8" customFormat="1" ht="67.5" customHeight="1">
      <c r="A776" s="430" t="s">
        <v>144</v>
      </c>
      <c r="B776" s="15" t="s">
        <v>896</v>
      </c>
      <c r="C776" s="15" t="s">
        <v>696</v>
      </c>
      <c r="D776" s="20">
        <v>7932689</v>
      </c>
      <c r="E776" s="20"/>
      <c r="F776" s="20" t="s">
        <v>897</v>
      </c>
      <c r="G776" s="13" t="s">
        <v>898</v>
      </c>
      <c r="H776" s="20" t="s">
        <v>44</v>
      </c>
      <c r="I776" s="20" t="s">
        <v>899</v>
      </c>
      <c r="J776" s="12">
        <v>60715</v>
      </c>
      <c r="K776" s="12"/>
      <c r="L776" s="12"/>
      <c r="M776" s="12">
        <v>60715</v>
      </c>
      <c r="N776" s="12">
        <v>40800</v>
      </c>
      <c r="O776" s="12"/>
      <c r="P776" s="12"/>
      <c r="Q776" s="12">
        <v>40800</v>
      </c>
      <c r="R776" s="12">
        <v>40800</v>
      </c>
      <c r="S776" s="12"/>
      <c r="T776" s="12"/>
      <c r="U776" s="12">
        <v>40800</v>
      </c>
      <c r="V776" s="407">
        <v>25131</v>
      </c>
      <c r="W776" s="12">
        <f t="shared" si="450"/>
        <v>19915</v>
      </c>
      <c r="X776" s="12"/>
      <c r="Y776" s="12">
        <v>19915</v>
      </c>
      <c r="Z776" s="12"/>
      <c r="AA776" s="12"/>
      <c r="AB776" s="91" t="s">
        <v>1622</v>
      </c>
      <c r="AC776" s="380">
        <f t="shared" si="429"/>
        <v>0</v>
      </c>
      <c r="AJ776" s="8" t="s">
        <v>685</v>
      </c>
    </row>
    <row r="777" spans="1:36" s="8" customFormat="1" ht="65.25" customHeight="1">
      <c r="A777" s="430" t="s">
        <v>144</v>
      </c>
      <c r="B777" s="15" t="s">
        <v>900</v>
      </c>
      <c r="C777" s="15" t="s">
        <v>696</v>
      </c>
      <c r="D777" s="20">
        <v>8071329</v>
      </c>
      <c r="E777" s="20"/>
      <c r="F777" s="20" t="s">
        <v>686</v>
      </c>
      <c r="G777" s="13" t="s">
        <v>891</v>
      </c>
      <c r="H777" s="20" t="s">
        <v>187</v>
      </c>
      <c r="I777" s="20" t="s">
        <v>901</v>
      </c>
      <c r="J777" s="12">
        <v>8500</v>
      </c>
      <c r="K777" s="12"/>
      <c r="L777" s="12"/>
      <c r="M777" s="12">
        <v>8500</v>
      </c>
      <c r="N777" s="12">
        <v>6013</v>
      </c>
      <c r="O777" s="12"/>
      <c r="P777" s="12"/>
      <c r="Q777" s="12">
        <v>6013</v>
      </c>
      <c r="R777" s="12">
        <v>6013</v>
      </c>
      <c r="S777" s="12"/>
      <c r="T777" s="12"/>
      <c r="U777" s="12">
        <v>6013</v>
      </c>
      <c r="V777" s="407">
        <v>2486</v>
      </c>
      <c r="W777" s="12">
        <f t="shared" si="450"/>
        <v>2486</v>
      </c>
      <c r="X777" s="12"/>
      <c r="Y777" s="12">
        <v>2486</v>
      </c>
      <c r="Z777" s="12"/>
      <c r="AA777" s="12"/>
      <c r="AB777" s="91" t="s">
        <v>1622</v>
      </c>
      <c r="AC777" s="380">
        <f t="shared" si="429"/>
        <v>0</v>
      </c>
      <c r="AJ777" s="8" t="s">
        <v>685</v>
      </c>
    </row>
    <row r="778" spans="1:36" s="8" customFormat="1" ht="93" customHeight="1">
      <c r="A778" s="430" t="s">
        <v>144</v>
      </c>
      <c r="B778" s="15" t="s">
        <v>902</v>
      </c>
      <c r="C778" s="15" t="s">
        <v>696</v>
      </c>
      <c r="D778" s="20" t="s">
        <v>903</v>
      </c>
      <c r="E778" s="20"/>
      <c r="F778" s="20" t="s">
        <v>904</v>
      </c>
      <c r="G778" s="13" t="s">
        <v>905</v>
      </c>
      <c r="H778" s="20" t="s">
        <v>187</v>
      </c>
      <c r="I778" s="20" t="s">
        <v>906</v>
      </c>
      <c r="J778" s="12">
        <v>151017</v>
      </c>
      <c r="K778" s="12"/>
      <c r="L778" s="12"/>
      <c r="M778" s="12">
        <v>151017</v>
      </c>
      <c r="N778" s="12">
        <v>106000</v>
      </c>
      <c r="O778" s="12"/>
      <c r="P778" s="12"/>
      <c r="Q778" s="12">
        <v>106000</v>
      </c>
      <c r="R778" s="12">
        <v>106000</v>
      </c>
      <c r="S778" s="12"/>
      <c r="T778" s="12"/>
      <c r="U778" s="12">
        <v>106000</v>
      </c>
      <c r="V778" s="407">
        <v>19910</v>
      </c>
      <c r="W778" s="12">
        <f t="shared" si="450"/>
        <v>19910</v>
      </c>
      <c r="X778" s="12"/>
      <c r="Y778" s="12">
        <v>19910</v>
      </c>
      <c r="Z778" s="12"/>
      <c r="AA778" s="12"/>
      <c r="AB778" s="91" t="s">
        <v>1622</v>
      </c>
      <c r="AC778" s="380">
        <f t="shared" si="429"/>
        <v>0</v>
      </c>
      <c r="AJ778" s="8" t="s">
        <v>685</v>
      </c>
    </row>
    <row r="779" spans="1:36" s="8" customFormat="1" ht="49.5" customHeight="1">
      <c r="A779" s="430" t="s">
        <v>144</v>
      </c>
      <c r="B779" s="15" t="s">
        <v>907</v>
      </c>
      <c r="C779" s="15" t="s">
        <v>696</v>
      </c>
      <c r="D779" s="20">
        <v>7848055</v>
      </c>
      <c r="E779" s="20"/>
      <c r="F779" s="20" t="s">
        <v>908</v>
      </c>
      <c r="G779" s="13" t="s">
        <v>909</v>
      </c>
      <c r="H779" s="20" t="s">
        <v>244</v>
      </c>
      <c r="I779" s="20" t="s">
        <v>910</v>
      </c>
      <c r="J779" s="12">
        <v>169899</v>
      </c>
      <c r="K779" s="12"/>
      <c r="L779" s="12"/>
      <c r="M779" s="12">
        <v>169899</v>
      </c>
      <c r="N779" s="12">
        <f>30000+2297+3000</f>
        <v>35297</v>
      </c>
      <c r="O779" s="12"/>
      <c r="P779" s="12"/>
      <c r="Q779" s="12">
        <f>30000+2297+3000</f>
        <v>35297</v>
      </c>
      <c r="R779" s="12">
        <f>30000+2297+3000</f>
        <v>35297</v>
      </c>
      <c r="S779" s="12"/>
      <c r="T779" s="12"/>
      <c r="U779" s="12">
        <f>30000+2297+3000</f>
        <v>35297</v>
      </c>
      <c r="V779" s="12">
        <v>134602</v>
      </c>
      <c r="W779" s="12">
        <f t="shared" si="450"/>
        <v>134602</v>
      </c>
      <c r="X779" s="12"/>
      <c r="Y779" s="12"/>
      <c r="Z779" s="12">
        <v>134602</v>
      </c>
      <c r="AA779" s="12"/>
      <c r="AB779" s="91" t="s">
        <v>1622</v>
      </c>
      <c r="AC779" s="380">
        <f t="shared" si="429"/>
        <v>0</v>
      </c>
      <c r="AJ779" s="8" t="s">
        <v>685</v>
      </c>
    </row>
    <row r="780" spans="1:36" s="8" customFormat="1" ht="69" customHeight="1">
      <c r="A780" s="430" t="s">
        <v>144</v>
      </c>
      <c r="B780" s="15" t="s">
        <v>911</v>
      </c>
      <c r="C780" s="15" t="s">
        <v>696</v>
      </c>
      <c r="D780" s="20" t="s">
        <v>912</v>
      </c>
      <c r="E780" s="20"/>
      <c r="F780" s="20" t="s">
        <v>698</v>
      </c>
      <c r="G780" s="13" t="s">
        <v>913</v>
      </c>
      <c r="H780" s="20" t="s">
        <v>44</v>
      </c>
      <c r="I780" s="20" t="s">
        <v>914</v>
      </c>
      <c r="J780" s="12">
        <v>146000</v>
      </c>
      <c r="K780" s="12"/>
      <c r="L780" s="12"/>
      <c r="M780" s="12">
        <v>146000</v>
      </c>
      <c r="N780" s="12">
        <v>121000</v>
      </c>
      <c r="O780" s="12"/>
      <c r="P780" s="12"/>
      <c r="Q780" s="12">
        <v>121000</v>
      </c>
      <c r="R780" s="12">
        <v>121000</v>
      </c>
      <c r="S780" s="12"/>
      <c r="T780" s="12"/>
      <c r="U780" s="12">
        <v>121000</v>
      </c>
      <c r="V780" s="407">
        <v>25000</v>
      </c>
      <c r="W780" s="12">
        <f t="shared" si="450"/>
        <v>25000</v>
      </c>
      <c r="X780" s="12"/>
      <c r="Y780" s="12">
        <v>25000</v>
      </c>
      <c r="Z780" s="12"/>
      <c r="AA780" s="12"/>
      <c r="AB780" s="91" t="s">
        <v>1622</v>
      </c>
      <c r="AC780" s="380">
        <f t="shared" si="429"/>
        <v>0</v>
      </c>
      <c r="AJ780" s="8" t="s">
        <v>685</v>
      </c>
    </row>
    <row r="781" spans="1:36" s="8" customFormat="1" ht="47.25" customHeight="1">
      <c r="A781" s="430" t="s">
        <v>144</v>
      </c>
      <c r="B781" s="15" t="s">
        <v>915</v>
      </c>
      <c r="C781" s="15" t="s">
        <v>696</v>
      </c>
      <c r="D781" s="20" t="s">
        <v>916</v>
      </c>
      <c r="E781" s="20"/>
      <c r="F781" s="20" t="s">
        <v>917</v>
      </c>
      <c r="G781" s="13" t="s">
        <v>918</v>
      </c>
      <c r="H781" s="20" t="s">
        <v>244</v>
      </c>
      <c r="I781" s="20" t="s">
        <v>919</v>
      </c>
      <c r="J781" s="12">
        <v>28000</v>
      </c>
      <c r="K781" s="12"/>
      <c r="L781" s="12"/>
      <c r="M781" s="12">
        <v>28000</v>
      </c>
      <c r="N781" s="12">
        <v>9000</v>
      </c>
      <c r="O781" s="12"/>
      <c r="P781" s="12"/>
      <c r="Q781" s="12">
        <v>9000</v>
      </c>
      <c r="R781" s="12">
        <v>19000</v>
      </c>
      <c r="S781" s="12"/>
      <c r="T781" s="12"/>
      <c r="U781" s="12">
        <v>19000</v>
      </c>
      <c r="V781" s="407">
        <v>9000</v>
      </c>
      <c r="W781" s="12">
        <f t="shared" si="450"/>
        <v>9000</v>
      </c>
      <c r="X781" s="12"/>
      <c r="Y781" s="12">
        <v>9000</v>
      </c>
      <c r="Z781" s="12"/>
      <c r="AA781" s="12"/>
      <c r="AB781" s="91" t="s">
        <v>1622</v>
      </c>
      <c r="AC781" s="380">
        <f t="shared" si="429"/>
        <v>0</v>
      </c>
      <c r="AJ781" s="8" t="s">
        <v>685</v>
      </c>
    </row>
    <row r="782" spans="1:36" s="8" customFormat="1" ht="46.5" customHeight="1">
      <c r="A782" s="430" t="s">
        <v>144</v>
      </c>
      <c r="B782" s="15" t="s">
        <v>920</v>
      </c>
      <c r="C782" s="15" t="s">
        <v>696</v>
      </c>
      <c r="D782" s="20" t="s">
        <v>921</v>
      </c>
      <c r="E782" s="20"/>
      <c r="F782" s="20" t="s">
        <v>702</v>
      </c>
      <c r="G782" s="13" t="s">
        <v>922</v>
      </c>
      <c r="H782" s="20" t="s">
        <v>244</v>
      </c>
      <c r="I782" s="20" t="s">
        <v>923</v>
      </c>
      <c r="J782" s="12">
        <v>45000</v>
      </c>
      <c r="K782" s="12"/>
      <c r="L782" s="12"/>
      <c r="M782" s="12">
        <v>45000</v>
      </c>
      <c r="N782" s="12">
        <v>5000</v>
      </c>
      <c r="O782" s="12"/>
      <c r="P782" s="12"/>
      <c r="Q782" s="12">
        <v>5000</v>
      </c>
      <c r="R782" s="12">
        <v>12000</v>
      </c>
      <c r="S782" s="12"/>
      <c r="T782" s="12"/>
      <c r="U782" s="12">
        <v>12000</v>
      </c>
      <c r="V782" s="407">
        <v>33000</v>
      </c>
      <c r="W782" s="12">
        <f t="shared" si="450"/>
        <v>33000</v>
      </c>
      <c r="X782" s="12"/>
      <c r="Y782" s="12">
        <v>33000</v>
      </c>
      <c r="Z782" s="12"/>
      <c r="AA782" s="12"/>
      <c r="AB782" s="91" t="s">
        <v>1622</v>
      </c>
      <c r="AC782" s="380">
        <f t="shared" si="429"/>
        <v>0</v>
      </c>
      <c r="AJ782" s="8" t="s">
        <v>685</v>
      </c>
    </row>
    <row r="783" spans="1:36" s="8" customFormat="1" ht="55.5" customHeight="1">
      <c r="A783" s="430" t="s">
        <v>144</v>
      </c>
      <c r="B783" s="15" t="s">
        <v>924</v>
      </c>
      <c r="C783" s="15" t="s">
        <v>696</v>
      </c>
      <c r="D783" s="20" t="s">
        <v>925</v>
      </c>
      <c r="E783" s="20"/>
      <c r="F783" s="20" t="s">
        <v>926</v>
      </c>
      <c r="G783" s="13" t="s">
        <v>927</v>
      </c>
      <c r="H783" s="20" t="s">
        <v>207</v>
      </c>
      <c r="I783" s="20" t="s">
        <v>928</v>
      </c>
      <c r="J783" s="12">
        <v>3000</v>
      </c>
      <c r="K783" s="12"/>
      <c r="L783" s="12"/>
      <c r="M783" s="12">
        <v>3000</v>
      </c>
      <c r="N783" s="12">
        <v>1500</v>
      </c>
      <c r="O783" s="12"/>
      <c r="P783" s="12"/>
      <c r="Q783" s="12">
        <v>1500</v>
      </c>
      <c r="R783" s="12">
        <v>1500</v>
      </c>
      <c r="S783" s="12"/>
      <c r="T783" s="12"/>
      <c r="U783" s="12">
        <v>1500</v>
      </c>
      <c r="V783" s="12">
        <v>1500</v>
      </c>
      <c r="W783" s="12">
        <f t="shared" si="450"/>
        <v>1500</v>
      </c>
      <c r="X783" s="12"/>
      <c r="Y783" s="12">
        <v>1500</v>
      </c>
      <c r="Z783" s="12"/>
      <c r="AA783" s="12"/>
      <c r="AB783" s="91" t="s">
        <v>1622</v>
      </c>
      <c r="AC783" s="380">
        <f t="shared" si="429"/>
        <v>0</v>
      </c>
      <c r="AJ783" s="8" t="s">
        <v>685</v>
      </c>
    </row>
    <row r="784" spans="1:36" s="8" customFormat="1" ht="40.5" customHeight="1">
      <c r="A784" s="430" t="s">
        <v>144</v>
      </c>
      <c r="B784" s="15" t="s">
        <v>929</v>
      </c>
      <c r="C784" s="15" t="s">
        <v>696</v>
      </c>
      <c r="D784" s="20" t="s">
        <v>930</v>
      </c>
      <c r="E784" s="20"/>
      <c r="F784" s="20" t="s">
        <v>686</v>
      </c>
      <c r="G784" s="13"/>
      <c r="H784" s="20" t="s">
        <v>207</v>
      </c>
      <c r="I784" s="20" t="s">
        <v>928</v>
      </c>
      <c r="J784" s="12">
        <v>8600</v>
      </c>
      <c r="K784" s="12"/>
      <c r="L784" s="12"/>
      <c r="M784" s="12">
        <v>8600</v>
      </c>
      <c r="N784" s="12">
        <v>5020</v>
      </c>
      <c r="O784" s="12"/>
      <c r="P784" s="12"/>
      <c r="Q784" s="12">
        <v>5020</v>
      </c>
      <c r="R784" s="12">
        <v>5020</v>
      </c>
      <c r="S784" s="12"/>
      <c r="T784" s="12"/>
      <c r="U784" s="12">
        <v>5020</v>
      </c>
      <c r="V784" s="12">
        <v>3580</v>
      </c>
      <c r="W784" s="12">
        <f t="shared" si="450"/>
        <v>3580</v>
      </c>
      <c r="X784" s="12"/>
      <c r="Y784" s="12">
        <v>3580</v>
      </c>
      <c r="Z784" s="12"/>
      <c r="AA784" s="12"/>
      <c r="AB784" s="91" t="s">
        <v>1622</v>
      </c>
      <c r="AC784" s="380">
        <f t="shared" si="429"/>
        <v>0</v>
      </c>
      <c r="AJ784" s="8" t="s">
        <v>685</v>
      </c>
    </row>
    <row r="785" spans="1:36" s="10" customFormat="1" ht="37.5" customHeight="1">
      <c r="A785" s="398" t="s">
        <v>1306</v>
      </c>
      <c r="B785" s="413" t="s">
        <v>1307</v>
      </c>
      <c r="C785" s="15" t="s">
        <v>696</v>
      </c>
      <c r="D785" s="473"/>
      <c r="E785" s="473"/>
      <c r="F785" s="473"/>
      <c r="G785" s="328"/>
      <c r="H785" s="473"/>
      <c r="I785" s="473"/>
      <c r="J785" s="436"/>
      <c r="K785" s="436"/>
      <c r="L785" s="436"/>
      <c r="M785" s="436"/>
      <c r="N785" s="436"/>
      <c r="O785" s="436"/>
      <c r="P785" s="436"/>
      <c r="Q785" s="436"/>
      <c r="R785" s="436"/>
      <c r="S785" s="436"/>
      <c r="T785" s="436"/>
      <c r="U785" s="436"/>
      <c r="V785" s="436"/>
      <c r="W785" s="436"/>
      <c r="X785" s="436"/>
      <c r="Y785" s="436"/>
      <c r="Z785" s="436"/>
      <c r="AA785" s="436"/>
      <c r="AB785" s="437"/>
      <c r="AC785" s="380">
        <f t="shared" si="429"/>
        <v>0</v>
      </c>
    </row>
    <row r="786" spans="1:36" s="8" customFormat="1" ht="32.25" customHeight="1">
      <c r="A786" s="426" t="s">
        <v>1347</v>
      </c>
      <c r="B786" s="317" t="s">
        <v>704</v>
      </c>
      <c r="C786" s="317" t="s">
        <v>704</v>
      </c>
      <c r="D786" s="20"/>
      <c r="E786" s="20"/>
      <c r="F786" s="20"/>
      <c r="G786" s="13"/>
      <c r="H786" s="20"/>
      <c r="I786" s="20"/>
      <c r="J786" s="14">
        <f t="shared" ref="J786:AA786" si="451">J787</f>
        <v>370539.96</v>
      </c>
      <c r="K786" s="14">
        <f t="shared" si="451"/>
        <v>0</v>
      </c>
      <c r="L786" s="14">
        <f t="shared" si="451"/>
        <v>0</v>
      </c>
      <c r="M786" s="14">
        <f t="shared" si="451"/>
        <v>370539.96</v>
      </c>
      <c r="N786" s="14">
        <f t="shared" si="451"/>
        <v>270900</v>
      </c>
      <c r="O786" s="14">
        <f t="shared" si="451"/>
        <v>0</v>
      </c>
      <c r="P786" s="14">
        <f t="shared" si="451"/>
        <v>0</v>
      </c>
      <c r="Q786" s="14">
        <f t="shared" si="451"/>
        <v>270900</v>
      </c>
      <c r="R786" s="14">
        <f t="shared" si="451"/>
        <v>270900</v>
      </c>
      <c r="S786" s="14">
        <f t="shared" si="451"/>
        <v>0</v>
      </c>
      <c r="T786" s="14">
        <f t="shared" si="451"/>
        <v>0</v>
      </c>
      <c r="U786" s="14">
        <f t="shared" si="451"/>
        <v>270900</v>
      </c>
      <c r="V786" s="14">
        <f t="shared" si="451"/>
        <v>88659.96</v>
      </c>
      <c r="W786" s="14">
        <f t="shared" si="451"/>
        <v>58326.921999999999</v>
      </c>
      <c r="X786" s="14">
        <f t="shared" si="451"/>
        <v>2500</v>
      </c>
      <c r="Y786" s="14">
        <f t="shared" si="451"/>
        <v>55826.921999999999</v>
      </c>
      <c r="Z786" s="14">
        <f t="shared" si="451"/>
        <v>0</v>
      </c>
      <c r="AA786" s="14">
        <f t="shared" si="451"/>
        <v>0</v>
      </c>
      <c r="AB786" s="102"/>
      <c r="AC786" s="380">
        <f t="shared" si="429"/>
        <v>0</v>
      </c>
    </row>
    <row r="787" spans="1:36" s="10" customFormat="1" ht="32.25" customHeight="1">
      <c r="A787" s="495" t="s">
        <v>1348</v>
      </c>
      <c r="B787" s="394" t="s">
        <v>38</v>
      </c>
      <c r="C787" s="15" t="s">
        <v>704</v>
      </c>
      <c r="D787" s="473"/>
      <c r="E787" s="473"/>
      <c r="F787" s="473"/>
      <c r="G787" s="328"/>
      <c r="H787" s="473"/>
      <c r="I787" s="473"/>
      <c r="J787" s="453">
        <f t="shared" ref="J787:AA787" si="452">J789+J788</f>
        <v>370539.96</v>
      </c>
      <c r="K787" s="453">
        <f t="shared" si="452"/>
        <v>0</v>
      </c>
      <c r="L787" s="453">
        <f t="shared" si="452"/>
        <v>0</v>
      </c>
      <c r="M787" s="453">
        <f t="shared" si="452"/>
        <v>370539.96</v>
      </c>
      <c r="N787" s="453">
        <f t="shared" si="452"/>
        <v>270900</v>
      </c>
      <c r="O787" s="453">
        <f t="shared" si="452"/>
        <v>0</v>
      </c>
      <c r="P787" s="453">
        <f t="shared" si="452"/>
        <v>0</v>
      </c>
      <c r="Q787" s="453">
        <f t="shared" si="452"/>
        <v>270900</v>
      </c>
      <c r="R787" s="453">
        <f t="shared" si="452"/>
        <v>270900</v>
      </c>
      <c r="S787" s="453">
        <f t="shared" si="452"/>
        <v>0</v>
      </c>
      <c r="T787" s="453">
        <f t="shared" si="452"/>
        <v>0</v>
      </c>
      <c r="U787" s="453">
        <f t="shared" si="452"/>
        <v>270900</v>
      </c>
      <c r="V787" s="453">
        <f t="shared" si="452"/>
        <v>88659.96</v>
      </c>
      <c r="W787" s="453">
        <f t="shared" si="452"/>
        <v>58326.921999999999</v>
      </c>
      <c r="X787" s="453">
        <f t="shared" si="452"/>
        <v>2500</v>
      </c>
      <c r="Y787" s="453">
        <f t="shared" si="452"/>
        <v>55826.921999999999</v>
      </c>
      <c r="Z787" s="453">
        <f t="shared" si="452"/>
        <v>0</v>
      </c>
      <c r="AA787" s="453">
        <f t="shared" si="452"/>
        <v>0</v>
      </c>
      <c r="AB787" s="454"/>
      <c r="AC787" s="380">
        <f t="shared" si="429"/>
        <v>0</v>
      </c>
    </row>
    <row r="788" spans="1:36" s="10" customFormat="1" ht="39.75" customHeight="1">
      <c r="A788" s="332" t="s">
        <v>39</v>
      </c>
      <c r="B788" s="326" t="s">
        <v>1254</v>
      </c>
      <c r="C788" s="15" t="s">
        <v>704</v>
      </c>
      <c r="D788" s="554"/>
      <c r="E788" s="332"/>
      <c r="F788" s="471"/>
      <c r="G788" s="471"/>
      <c r="H788" s="332"/>
      <c r="I788" s="471"/>
      <c r="J788" s="331"/>
      <c r="K788" s="331"/>
      <c r="L788" s="331"/>
      <c r="M788" s="331"/>
      <c r="N788" s="331"/>
      <c r="O788" s="331"/>
      <c r="P788" s="331"/>
      <c r="Q788" s="331"/>
      <c r="R788" s="331"/>
      <c r="S788" s="331"/>
      <c r="T788" s="331"/>
      <c r="U788" s="331"/>
      <c r="V788" s="331"/>
      <c r="W788" s="331"/>
      <c r="X788" s="331"/>
      <c r="Y788" s="331"/>
      <c r="Z788" s="331"/>
      <c r="AA788" s="331"/>
      <c r="AB788" s="332"/>
      <c r="AC788" s="380">
        <f t="shared" si="429"/>
        <v>0</v>
      </c>
    </row>
    <row r="789" spans="1:36" s="10" customFormat="1" ht="58.5" customHeight="1">
      <c r="A789" s="398" t="s">
        <v>467</v>
      </c>
      <c r="B789" s="326" t="s">
        <v>56</v>
      </c>
      <c r="C789" s="15" t="s">
        <v>704</v>
      </c>
      <c r="D789" s="473"/>
      <c r="E789" s="473"/>
      <c r="F789" s="473"/>
      <c r="G789" s="328"/>
      <c r="H789" s="473"/>
      <c r="I789" s="473"/>
      <c r="J789" s="436">
        <f>SUM(J790:J796)</f>
        <v>370539.96</v>
      </c>
      <c r="K789" s="436">
        <f t="shared" ref="K789:AA789" si="453">SUM(K790:K796)</f>
        <v>0</v>
      </c>
      <c r="L789" s="436">
        <f t="shared" si="453"/>
        <v>0</v>
      </c>
      <c r="M789" s="436">
        <f t="shared" si="453"/>
        <v>370539.96</v>
      </c>
      <c r="N789" s="436">
        <f t="shared" si="453"/>
        <v>270900</v>
      </c>
      <c r="O789" s="436">
        <f t="shared" si="453"/>
        <v>0</v>
      </c>
      <c r="P789" s="436">
        <f t="shared" si="453"/>
        <v>0</v>
      </c>
      <c r="Q789" s="436">
        <f t="shared" si="453"/>
        <v>270900</v>
      </c>
      <c r="R789" s="436">
        <f t="shared" si="453"/>
        <v>270900</v>
      </c>
      <c r="S789" s="436">
        <f t="shared" si="453"/>
        <v>0</v>
      </c>
      <c r="T789" s="436">
        <f t="shared" si="453"/>
        <v>0</v>
      </c>
      <c r="U789" s="436">
        <f t="shared" si="453"/>
        <v>270900</v>
      </c>
      <c r="V789" s="436">
        <f t="shared" si="453"/>
        <v>88659.96</v>
      </c>
      <c r="W789" s="436">
        <f>SUM(W790:W796)</f>
        <v>58326.921999999999</v>
      </c>
      <c r="X789" s="436">
        <f t="shared" si="453"/>
        <v>2500</v>
      </c>
      <c r="Y789" s="436">
        <f t="shared" si="453"/>
        <v>55826.921999999999</v>
      </c>
      <c r="Z789" s="436">
        <f t="shared" si="453"/>
        <v>0</v>
      </c>
      <c r="AA789" s="436">
        <f t="shared" si="453"/>
        <v>0</v>
      </c>
      <c r="AB789" s="437"/>
      <c r="AC789" s="380">
        <f t="shared" si="429"/>
        <v>0</v>
      </c>
    </row>
    <row r="790" spans="1:36" s="8" customFormat="1" ht="123.75" customHeight="1">
      <c r="A790" s="430" t="s">
        <v>144</v>
      </c>
      <c r="B790" s="15" t="s">
        <v>932</v>
      </c>
      <c r="C790" s="15" t="s">
        <v>704</v>
      </c>
      <c r="D790" s="20">
        <v>7855441</v>
      </c>
      <c r="E790" s="20"/>
      <c r="F790" s="20" t="s">
        <v>933</v>
      </c>
      <c r="G790" s="13" t="s">
        <v>934</v>
      </c>
      <c r="H790" s="20" t="s">
        <v>122</v>
      </c>
      <c r="I790" s="20" t="s">
        <v>935</v>
      </c>
      <c r="J790" s="12">
        <v>261180</v>
      </c>
      <c r="K790" s="12"/>
      <c r="L790" s="12"/>
      <c r="M790" s="12">
        <v>261180</v>
      </c>
      <c r="N790" s="12">
        <v>225200</v>
      </c>
      <c r="O790" s="12"/>
      <c r="P790" s="12"/>
      <c r="Q790" s="12">
        <v>225200</v>
      </c>
      <c r="R790" s="12">
        <v>225200</v>
      </c>
      <c r="S790" s="12"/>
      <c r="T790" s="12"/>
      <c r="U790" s="12">
        <v>225200</v>
      </c>
      <c r="V790" s="493">
        <v>25000</v>
      </c>
      <c r="W790" s="12">
        <f>SUM(X790:AA790)</f>
        <v>12000</v>
      </c>
      <c r="X790" s="12"/>
      <c r="Y790" s="12">
        <v>12000</v>
      </c>
      <c r="Z790" s="12"/>
      <c r="AA790" s="12"/>
      <c r="AB790" s="91" t="s">
        <v>1622</v>
      </c>
      <c r="AC790" s="380">
        <f t="shared" si="429"/>
        <v>0</v>
      </c>
      <c r="AJ790" s="8" t="s">
        <v>685</v>
      </c>
    </row>
    <row r="791" spans="1:36" s="8" customFormat="1" ht="59.25" customHeight="1">
      <c r="A791" s="430" t="s">
        <v>144</v>
      </c>
      <c r="B791" s="15" t="s">
        <v>936</v>
      </c>
      <c r="C791" s="15" t="s">
        <v>704</v>
      </c>
      <c r="D791" s="20">
        <v>8130898</v>
      </c>
      <c r="E791" s="20"/>
      <c r="F791" s="20" t="s">
        <v>937</v>
      </c>
      <c r="G791" s="13" t="s">
        <v>938</v>
      </c>
      <c r="H791" s="20" t="s">
        <v>136</v>
      </c>
      <c r="I791" s="20" t="s">
        <v>939</v>
      </c>
      <c r="J791" s="12">
        <v>13379</v>
      </c>
      <c r="K791" s="12"/>
      <c r="L791" s="12"/>
      <c r="M791" s="12">
        <v>13379</v>
      </c>
      <c r="N791" s="12">
        <v>10000</v>
      </c>
      <c r="O791" s="12"/>
      <c r="P791" s="12"/>
      <c r="Q791" s="12">
        <v>10000</v>
      </c>
      <c r="R791" s="12">
        <v>10000</v>
      </c>
      <c r="S791" s="12"/>
      <c r="T791" s="12"/>
      <c r="U791" s="12">
        <v>10000</v>
      </c>
      <c r="V791" s="493">
        <v>3379</v>
      </c>
      <c r="W791" s="12">
        <f t="shared" ref="W791:W796" si="454">SUM(X791:AA791)</f>
        <v>2500</v>
      </c>
      <c r="X791" s="12">
        <v>2500</v>
      </c>
      <c r="Y791" s="12"/>
      <c r="Z791" s="12"/>
      <c r="AA791" s="12"/>
      <c r="AB791" s="91" t="s">
        <v>1622</v>
      </c>
      <c r="AC791" s="380">
        <f t="shared" si="429"/>
        <v>0</v>
      </c>
      <c r="AJ791" s="8" t="s">
        <v>685</v>
      </c>
    </row>
    <row r="792" spans="1:36" s="8" customFormat="1" ht="57" customHeight="1">
      <c r="A792" s="430" t="s">
        <v>144</v>
      </c>
      <c r="B792" s="15" t="s">
        <v>940</v>
      </c>
      <c r="C792" s="15" t="s">
        <v>704</v>
      </c>
      <c r="D792" s="20">
        <v>8132310</v>
      </c>
      <c r="E792" s="20"/>
      <c r="F792" s="20" t="s">
        <v>933</v>
      </c>
      <c r="G792" s="13" t="s">
        <v>941</v>
      </c>
      <c r="H792" s="20" t="s">
        <v>136</v>
      </c>
      <c r="I792" s="20" t="s">
        <v>942</v>
      </c>
      <c r="J792" s="12">
        <v>13887.947</v>
      </c>
      <c r="K792" s="12"/>
      <c r="L792" s="12"/>
      <c r="M792" s="12">
        <v>13887.947</v>
      </c>
      <c r="N792" s="12">
        <v>7000</v>
      </c>
      <c r="O792" s="12"/>
      <c r="P792" s="12"/>
      <c r="Q792" s="12">
        <v>7000</v>
      </c>
      <c r="R792" s="12">
        <v>7000</v>
      </c>
      <c r="S792" s="12"/>
      <c r="T792" s="12"/>
      <c r="U792" s="12">
        <v>7000</v>
      </c>
      <c r="V792" s="493">
        <v>6887.9470000000001</v>
      </c>
      <c r="W792" s="12">
        <f t="shared" si="454"/>
        <v>5460</v>
      </c>
      <c r="X792" s="12"/>
      <c r="Y792" s="12">
        <v>5460</v>
      </c>
      <c r="Z792" s="12"/>
      <c r="AA792" s="12"/>
      <c r="AB792" s="91" t="s">
        <v>1622</v>
      </c>
      <c r="AC792" s="380">
        <f t="shared" si="429"/>
        <v>0</v>
      </c>
      <c r="AJ792" s="8" t="s">
        <v>685</v>
      </c>
    </row>
    <row r="793" spans="1:36" s="8" customFormat="1" ht="57" customHeight="1">
      <c r="A793" s="430" t="s">
        <v>144</v>
      </c>
      <c r="B793" s="15" t="s">
        <v>943</v>
      </c>
      <c r="C793" s="15" t="s">
        <v>704</v>
      </c>
      <c r="D793" s="20">
        <v>8129434</v>
      </c>
      <c r="E793" s="20"/>
      <c r="F793" s="20" t="s">
        <v>706</v>
      </c>
      <c r="G793" s="13" t="s">
        <v>944</v>
      </c>
      <c r="H793" s="20" t="s">
        <v>136</v>
      </c>
      <c r="I793" s="20" t="s">
        <v>945</v>
      </c>
      <c r="J793" s="12">
        <v>17206.091</v>
      </c>
      <c r="K793" s="12"/>
      <c r="L793" s="12"/>
      <c r="M793" s="12">
        <v>17206.091</v>
      </c>
      <c r="N793" s="12">
        <v>6200</v>
      </c>
      <c r="O793" s="12"/>
      <c r="P793" s="12"/>
      <c r="Q793" s="12">
        <v>6200</v>
      </c>
      <c r="R793" s="12">
        <v>6200</v>
      </c>
      <c r="S793" s="12"/>
      <c r="T793" s="12"/>
      <c r="U793" s="12">
        <v>6200</v>
      </c>
      <c r="V793" s="493">
        <v>11006.091</v>
      </c>
      <c r="W793" s="12">
        <f t="shared" si="454"/>
        <v>9050</v>
      </c>
      <c r="X793" s="12"/>
      <c r="Y793" s="12">
        <v>9050</v>
      </c>
      <c r="Z793" s="12"/>
      <c r="AA793" s="12"/>
      <c r="AB793" s="91" t="s">
        <v>1622</v>
      </c>
      <c r="AC793" s="380">
        <f t="shared" si="429"/>
        <v>0</v>
      </c>
      <c r="AJ793" s="8" t="s">
        <v>685</v>
      </c>
    </row>
    <row r="794" spans="1:36" s="8" customFormat="1" ht="57" customHeight="1">
      <c r="A794" s="430" t="s">
        <v>144</v>
      </c>
      <c r="B794" s="15" t="s">
        <v>946</v>
      </c>
      <c r="C794" s="15" t="s">
        <v>704</v>
      </c>
      <c r="D794" s="20">
        <v>8128216</v>
      </c>
      <c r="E794" s="20"/>
      <c r="F794" s="20" t="s">
        <v>706</v>
      </c>
      <c r="G794" s="13" t="s">
        <v>947</v>
      </c>
      <c r="H794" s="20" t="s">
        <v>136</v>
      </c>
      <c r="I794" s="20" t="s">
        <v>948</v>
      </c>
      <c r="J794" s="12">
        <v>24230</v>
      </c>
      <c r="K794" s="12"/>
      <c r="L794" s="12"/>
      <c r="M794" s="12">
        <v>24230</v>
      </c>
      <c r="N794" s="12">
        <v>7250</v>
      </c>
      <c r="O794" s="12"/>
      <c r="P794" s="12"/>
      <c r="Q794" s="12">
        <v>7250</v>
      </c>
      <c r="R794" s="12">
        <v>7250</v>
      </c>
      <c r="S794" s="12"/>
      <c r="T794" s="12"/>
      <c r="U794" s="12">
        <v>7250</v>
      </c>
      <c r="V794" s="493">
        <v>16980</v>
      </c>
      <c r="W794" s="12">
        <f t="shared" si="454"/>
        <v>11500</v>
      </c>
      <c r="X794" s="12"/>
      <c r="Y794" s="12">
        <v>11500</v>
      </c>
      <c r="Z794" s="12"/>
      <c r="AA794" s="12"/>
      <c r="AB794" s="91" t="s">
        <v>1639</v>
      </c>
      <c r="AC794" s="380">
        <f t="shared" ref="AC794:AC857" si="455">+W794-X794-Y794-Z794</f>
        <v>0</v>
      </c>
      <c r="AJ794" s="8" t="s">
        <v>685</v>
      </c>
    </row>
    <row r="795" spans="1:36" s="8" customFormat="1" ht="57" customHeight="1">
      <c r="A795" s="430" t="s">
        <v>144</v>
      </c>
      <c r="B795" s="15" t="s">
        <v>949</v>
      </c>
      <c r="C795" s="15" t="s">
        <v>704</v>
      </c>
      <c r="D795" s="20">
        <v>8129435</v>
      </c>
      <c r="E795" s="20"/>
      <c r="F795" s="20" t="s">
        <v>933</v>
      </c>
      <c r="G795" s="13" t="s">
        <v>950</v>
      </c>
      <c r="H795" s="20" t="s">
        <v>136</v>
      </c>
      <c r="I795" s="20" t="s">
        <v>951</v>
      </c>
      <c r="J795" s="12">
        <v>26140</v>
      </c>
      <c r="K795" s="12"/>
      <c r="L795" s="12"/>
      <c r="M795" s="12">
        <v>26140</v>
      </c>
      <c r="N795" s="12">
        <v>8250</v>
      </c>
      <c r="O795" s="12"/>
      <c r="P795" s="12"/>
      <c r="Q795" s="12">
        <v>8250</v>
      </c>
      <c r="R795" s="12">
        <v>8250</v>
      </c>
      <c r="S795" s="12"/>
      <c r="T795" s="12"/>
      <c r="U795" s="12">
        <v>8250</v>
      </c>
      <c r="V795" s="493">
        <v>17890</v>
      </c>
      <c r="W795" s="12">
        <f t="shared" si="454"/>
        <v>10300</v>
      </c>
      <c r="X795" s="12"/>
      <c r="Y795" s="12">
        <v>10300</v>
      </c>
      <c r="Z795" s="12"/>
      <c r="AA795" s="12"/>
      <c r="AB795" s="91" t="s">
        <v>1639</v>
      </c>
      <c r="AC795" s="380">
        <f t="shared" si="455"/>
        <v>0</v>
      </c>
      <c r="AJ795" s="8" t="s">
        <v>685</v>
      </c>
    </row>
    <row r="796" spans="1:36" s="8" customFormat="1" ht="63.75" customHeight="1">
      <c r="A796" s="430" t="s">
        <v>144</v>
      </c>
      <c r="B796" s="15" t="s">
        <v>952</v>
      </c>
      <c r="C796" s="15" t="s">
        <v>704</v>
      </c>
      <c r="D796" s="20">
        <v>8123337</v>
      </c>
      <c r="E796" s="20"/>
      <c r="F796" s="20" t="s">
        <v>937</v>
      </c>
      <c r="G796" s="13" t="s">
        <v>953</v>
      </c>
      <c r="H796" s="20" t="s">
        <v>136</v>
      </c>
      <c r="I796" s="20" t="s">
        <v>954</v>
      </c>
      <c r="J796" s="12">
        <v>14516.922</v>
      </c>
      <c r="K796" s="12"/>
      <c r="L796" s="12"/>
      <c r="M796" s="12">
        <v>14516.922</v>
      </c>
      <c r="N796" s="12">
        <v>7000</v>
      </c>
      <c r="O796" s="12"/>
      <c r="P796" s="12"/>
      <c r="Q796" s="12">
        <v>7000</v>
      </c>
      <c r="R796" s="12">
        <v>7000</v>
      </c>
      <c r="S796" s="12"/>
      <c r="T796" s="12"/>
      <c r="U796" s="12">
        <v>7000</v>
      </c>
      <c r="V796" s="493">
        <v>7516.9220000000005</v>
      </c>
      <c r="W796" s="12">
        <f t="shared" si="454"/>
        <v>7516.9220000000005</v>
      </c>
      <c r="X796" s="12"/>
      <c r="Y796" s="12">
        <v>7516.9220000000005</v>
      </c>
      <c r="Z796" s="12"/>
      <c r="AA796" s="12"/>
      <c r="AB796" s="91" t="s">
        <v>1622</v>
      </c>
      <c r="AC796" s="380">
        <f t="shared" si="455"/>
        <v>0</v>
      </c>
      <c r="AJ796" s="8" t="s">
        <v>685</v>
      </c>
    </row>
    <row r="797" spans="1:36" s="8" customFormat="1" ht="40.5" customHeight="1">
      <c r="A797" s="426" t="s">
        <v>1349</v>
      </c>
      <c r="B797" s="317" t="s">
        <v>718</v>
      </c>
      <c r="C797" s="317" t="s">
        <v>718</v>
      </c>
      <c r="D797" s="20"/>
      <c r="E797" s="20"/>
      <c r="F797" s="20"/>
      <c r="G797" s="13"/>
      <c r="H797" s="20"/>
      <c r="I797" s="20"/>
      <c r="J797" s="14">
        <f t="shared" ref="J797:AA797" si="456">J798</f>
        <v>1229103</v>
      </c>
      <c r="K797" s="14">
        <f t="shared" si="456"/>
        <v>0</v>
      </c>
      <c r="L797" s="14">
        <f t="shared" si="456"/>
        <v>0</v>
      </c>
      <c r="M797" s="14">
        <f t="shared" si="456"/>
        <v>1229103</v>
      </c>
      <c r="N797" s="14">
        <f t="shared" si="456"/>
        <v>182500</v>
      </c>
      <c r="O797" s="14">
        <f t="shared" si="456"/>
        <v>0</v>
      </c>
      <c r="P797" s="14">
        <f t="shared" si="456"/>
        <v>0</v>
      </c>
      <c r="Q797" s="14">
        <f t="shared" si="456"/>
        <v>182500</v>
      </c>
      <c r="R797" s="14">
        <f t="shared" si="456"/>
        <v>182500</v>
      </c>
      <c r="S797" s="14">
        <f t="shared" si="456"/>
        <v>0</v>
      </c>
      <c r="T797" s="14">
        <f t="shared" si="456"/>
        <v>0</v>
      </c>
      <c r="U797" s="14">
        <f t="shared" si="456"/>
        <v>182500</v>
      </c>
      <c r="V797" s="14">
        <f t="shared" si="456"/>
        <v>553304</v>
      </c>
      <c r="W797" s="14">
        <f t="shared" si="456"/>
        <v>202245</v>
      </c>
      <c r="X797" s="14">
        <f t="shared" si="456"/>
        <v>20000</v>
      </c>
      <c r="Y797" s="14">
        <f t="shared" si="456"/>
        <v>182245</v>
      </c>
      <c r="Z797" s="14">
        <f t="shared" si="456"/>
        <v>0</v>
      </c>
      <c r="AA797" s="14">
        <f t="shared" si="456"/>
        <v>0</v>
      </c>
      <c r="AB797" s="102"/>
      <c r="AC797" s="380">
        <f t="shared" si="455"/>
        <v>0</v>
      </c>
    </row>
    <row r="798" spans="1:36" s="10" customFormat="1" ht="32.25" customHeight="1">
      <c r="A798" s="495" t="s">
        <v>1350</v>
      </c>
      <c r="B798" s="394" t="s">
        <v>38</v>
      </c>
      <c r="C798" s="15" t="s">
        <v>718</v>
      </c>
      <c r="D798" s="473"/>
      <c r="E798" s="473"/>
      <c r="F798" s="473"/>
      <c r="G798" s="328"/>
      <c r="H798" s="473"/>
      <c r="I798" s="473"/>
      <c r="J798" s="453">
        <f t="shared" ref="J798:AA798" si="457">J800+J805+J799</f>
        <v>1229103</v>
      </c>
      <c r="K798" s="453">
        <f t="shared" si="457"/>
        <v>0</v>
      </c>
      <c r="L798" s="453">
        <f t="shared" si="457"/>
        <v>0</v>
      </c>
      <c r="M798" s="453">
        <f t="shared" si="457"/>
        <v>1229103</v>
      </c>
      <c r="N798" s="453">
        <f t="shared" si="457"/>
        <v>182500</v>
      </c>
      <c r="O798" s="453">
        <f t="shared" si="457"/>
        <v>0</v>
      </c>
      <c r="P798" s="453">
        <f t="shared" si="457"/>
        <v>0</v>
      </c>
      <c r="Q798" s="453">
        <f t="shared" si="457"/>
        <v>182500</v>
      </c>
      <c r="R798" s="453">
        <f t="shared" si="457"/>
        <v>182500</v>
      </c>
      <c r="S798" s="453">
        <f t="shared" si="457"/>
        <v>0</v>
      </c>
      <c r="T798" s="453">
        <f t="shared" si="457"/>
        <v>0</v>
      </c>
      <c r="U798" s="453">
        <f t="shared" si="457"/>
        <v>182500</v>
      </c>
      <c r="V798" s="453">
        <f t="shared" si="457"/>
        <v>553304</v>
      </c>
      <c r="W798" s="453">
        <f t="shared" si="457"/>
        <v>202245</v>
      </c>
      <c r="X798" s="453">
        <f t="shared" si="457"/>
        <v>20000</v>
      </c>
      <c r="Y798" s="453">
        <f t="shared" si="457"/>
        <v>182245</v>
      </c>
      <c r="Z798" s="453">
        <f t="shared" si="457"/>
        <v>0</v>
      </c>
      <c r="AA798" s="453">
        <f t="shared" si="457"/>
        <v>0</v>
      </c>
      <c r="AB798" s="454"/>
      <c r="AC798" s="380">
        <f t="shared" si="455"/>
        <v>0</v>
      </c>
    </row>
    <row r="799" spans="1:36" s="10" customFormat="1" ht="39.75" customHeight="1">
      <c r="A799" s="332" t="s">
        <v>39</v>
      </c>
      <c r="B799" s="326" t="s">
        <v>1254</v>
      </c>
      <c r="C799" s="15" t="s">
        <v>718</v>
      </c>
      <c r="D799" s="554"/>
      <c r="E799" s="332"/>
      <c r="F799" s="471"/>
      <c r="G799" s="471"/>
      <c r="H799" s="332"/>
      <c r="I799" s="471"/>
      <c r="J799" s="331"/>
      <c r="K799" s="331"/>
      <c r="L799" s="331"/>
      <c r="M799" s="331"/>
      <c r="N799" s="331"/>
      <c r="O799" s="331"/>
      <c r="P799" s="331"/>
      <c r="Q799" s="331"/>
      <c r="R799" s="331"/>
      <c r="S799" s="331"/>
      <c r="T799" s="331"/>
      <c r="U799" s="331"/>
      <c r="V799" s="331"/>
      <c r="W799" s="331"/>
      <c r="X799" s="331"/>
      <c r="Y799" s="331"/>
      <c r="Z799" s="331"/>
      <c r="AA799" s="331"/>
      <c r="AB799" s="332"/>
      <c r="AC799" s="380">
        <f t="shared" si="455"/>
        <v>0</v>
      </c>
    </row>
    <row r="800" spans="1:36" s="10" customFormat="1" ht="58.5" customHeight="1">
      <c r="A800" s="398" t="s">
        <v>467</v>
      </c>
      <c r="B800" s="326" t="s">
        <v>56</v>
      </c>
      <c r="C800" s="15" t="s">
        <v>718</v>
      </c>
      <c r="D800" s="473"/>
      <c r="E800" s="473"/>
      <c r="F800" s="473"/>
      <c r="G800" s="328"/>
      <c r="H800" s="473"/>
      <c r="I800" s="473"/>
      <c r="J800" s="436">
        <f t="shared" ref="J800:AA800" si="458">SUM(J801:J804)</f>
        <v>1229103</v>
      </c>
      <c r="K800" s="436">
        <f t="shared" si="458"/>
        <v>0</v>
      </c>
      <c r="L800" s="436">
        <f t="shared" si="458"/>
        <v>0</v>
      </c>
      <c r="M800" s="436">
        <f t="shared" si="458"/>
        <v>1229103</v>
      </c>
      <c r="N800" s="436">
        <f t="shared" si="458"/>
        <v>182500</v>
      </c>
      <c r="O800" s="436">
        <f t="shared" si="458"/>
        <v>0</v>
      </c>
      <c r="P800" s="436">
        <f t="shared" si="458"/>
        <v>0</v>
      </c>
      <c r="Q800" s="436">
        <f t="shared" si="458"/>
        <v>182500</v>
      </c>
      <c r="R800" s="436">
        <f t="shared" si="458"/>
        <v>182500</v>
      </c>
      <c r="S800" s="436">
        <f t="shared" si="458"/>
        <v>0</v>
      </c>
      <c r="T800" s="436">
        <f t="shared" si="458"/>
        <v>0</v>
      </c>
      <c r="U800" s="436">
        <f t="shared" si="458"/>
        <v>182500</v>
      </c>
      <c r="V800" s="436">
        <f t="shared" si="458"/>
        <v>553304</v>
      </c>
      <c r="W800" s="436">
        <f>SUM(W801:W804)</f>
        <v>202245</v>
      </c>
      <c r="X800" s="436">
        <f t="shared" si="458"/>
        <v>20000</v>
      </c>
      <c r="Y800" s="436">
        <f t="shared" si="458"/>
        <v>182245</v>
      </c>
      <c r="Z800" s="436">
        <f t="shared" si="458"/>
        <v>0</v>
      </c>
      <c r="AA800" s="436">
        <f t="shared" si="458"/>
        <v>0</v>
      </c>
      <c r="AB800" s="437"/>
      <c r="AC800" s="380">
        <f t="shared" si="455"/>
        <v>0</v>
      </c>
    </row>
    <row r="801" spans="1:36" s="8" customFormat="1" ht="58.5" customHeight="1">
      <c r="A801" s="430" t="s">
        <v>144</v>
      </c>
      <c r="B801" s="15" t="s">
        <v>956</v>
      </c>
      <c r="C801" s="15" t="s">
        <v>718</v>
      </c>
      <c r="D801" s="20">
        <v>8077246</v>
      </c>
      <c r="E801" s="20"/>
      <c r="F801" s="20" t="s">
        <v>957</v>
      </c>
      <c r="G801" s="13" t="s">
        <v>186</v>
      </c>
      <c r="H801" s="20" t="s">
        <v>49</v>
      </c>
      <c r="I801" s="20" t="s">
        <v>958</v>
      </c>
      <c r="J801" s="12">
        <v>117719</v>
      </c>
      <c r="K801" s="12"/>
      <c r="L801" s="12"/>
      <c r="M801" s="12">
        <v>117719</v>
      </c>
      <c r="N801" s="12">
        <v>47000</v>
      </c>
      <c r="O801" s="12"/>
      <c r="P801" s="12"/>
      <c r="Q801" s="12">
        <v>47000</v>
      </c>
      <c r="R801" s="12">
        <v>47000</v>
      </c>
      <c r="S801" s="12"/>
      <c r="T801" s="12"/>
      <c r="U801" s="12">
        <v>47000</v>
      </c>
      <c r="V801" s="95">
        <v>70719</v>
      </c>
      <c r="W801" s="12">
        <f>SUM(X801:AA801)</f>
        <v>20000</v>
      </c>
      <c r="X801" s="12">
        <v>20000</v>
      </c>
      <c r="Y801" s="12"/>
      <c r="Z801" s="12"/>
      <c r="AA801" s="12"/>
      <c r="AB801" s="91" t="s">
        <v>1639</v>
      </c>
      <c r="AC801" s="380">
        <f t="shared" si="455"/>
        <v>0</v>
      </c>
      <c r="AJ801" s="8" t="s">
        <v>685</v>
      </c>
    </row>
    <row r="802" spans="1:36" s="8" customFormat="1" ht="58.5" customHeight="1">
      <c r="A802" s="430" t="s">
        <v>144</v>
      </c>
      <c r="B802" s="15" t="s">
        <v>959</v>
      </c>
      <c r="C802" s="15" t="s">
        <v>718</v>
      </c>
      <c r="D802" s="20">
        <v>8130539</v>
      </c>
      <c r="E802" s="20"/>
      <c r="F802" s="20" t="s">
        <v>960</v>
      </c>
      <c r="G802" s="13" t="s">
        <v>186</v>
      </c>
      <c r="H802" s="20" t="s">
        <v>244</v>
      </c>
      <c r="I802" s="20" t="s">
        <v>961</v>
      </c>
      <c r="J802" s="12">
        <v>3993</v>
      </c>
      <c r="K802" s="12"/>
      <c r="L802" s="12"/>
      <c r="M802" s="12">
        <v>3993</v>
      </c>
      <c r="N802" s="12">
        <v>2500</v>
      </c>
      <c r="O802" s="12"/>
      <c r="P802" s="12"/>
      <c r="Q802" s="12">
        <v>2500</v>
      </c>
      <c r="R802" s="12">
        <v>2500</v>
      </c>
      <c r="S802" s="12"/>
      <c r="T802" s="12"/>
      <c r="U802" s="12">
        <v>2500</v>
      </c>
      <c r="V802" s="95">
        <v>1490</v>
      </c>
      <c r="W802" s="12">
        <f t="shared" ref="W802:W804" si="459">SUM(X802:AA802)</f>
        <v>1150</v>
      </c>
      <c r="X802" s="12"/>
      <c r="Y802" s="12">
        <v>1150</v>
      </c>
      <c r="Z802" s="12"/>
      <c r="AA802" s="12"/>
      <c r="AB802" s="91" t="s">
        <v>1622</v>
      </c>
      <c r="AC802" s="380">
        <f t="shared" si="455"/>
        <v>0</v>
      </c>
      <c r="AJ802" s="8" t="s">
        <v>685</v>
      </c>
    </row>
    <row r="803" spans="1:36" s="8" customFormat="1" ht="58.5" customHeight="1">
      <c r="A803" s="430" t="s">
        <v>144</v>
      </c>
      <c r="B803" s="15" t="s">
        <v>962</v>
      </c>
      <c r="C803" s="15" t="s">
        <v>718</v>
      </c>
      <c r="D803" s="20">
        <v>8156913</v>
      </c>
      <c r="E803" s="20"/>
      <c r="F803" s="20" t="s">
        <v>120</v>
      </c>
      <c r="G803" s="13" t="s">
        <v>186</v>
      </c>
      <c r="H803" s="20" t="s">
        <v>486</v>
      </c>
      <c r="I803" s="20" t="s">
        <v>963</v>
      </c>
      <c r="J803" s="12">
        <v>4095</v>
      </c>
      <c r="K803" s="12"/>
      <c r="L803" s="12"/>
      <c r="M803" s="12">
        <v>4095</v>
      </c>
      <c r="N803" s="12">
        <v>3000</v>
      </c>
      <c r="O803" s="12"/>
      <c r="P803" s="12"/>
      <c r="Q803" s="12">
        <v>3000</v>
      </c>
      <c r="R803" s="12">
        <v>3000</v>
      </c>
      <c r="S803" s="12"/>
      <c r="T803" s="12"/>
      <c r="U803" s="12">
        <v>3000</v>
      </c>
      <c r="V803" s="95">
        <v>1095</v>
      </c>
      <c r="W803" s="12">
        <f t="shared" si="459"/>
        <v>1095</v>
      </c>
      <c r="X803" s="12"/>
      <c r="Y803" s="12">
        <v>1095</v>
      </c>
      <c r="Z803" s="12"/>
      <c r="AA803" s="12"/>
      <c r="AB803" s="91" t="s">
        <v>1622</v>
      </c>
      <c r="AC803" s="380">
        <f t="shared" si="455"/>
        <v>0</v>
      </c>
      <c r="AJ803" s="8" t="s">
        <v>685</v>
      </c>
    </row>
    <row r="804" spans="1:36" s="8" customFormat="1" ht="58.5" customHeight="1">
      <c r="A804" s="430" t="s">
        <v>144</v>
      </c>
      <c r="B804" s="15" t="s">
        <v>964</v>
      </c>
      <c r="C804" s="15" t="s">
        <v>718</v>
      </c>
      <c r="D804" s="20">
        <v>8013688</v>
      </c>
      <c r="E804" s="20"/>
      <c r="F804" s="20" t="s">
        <v>667</v>
      </c>
      <c r="G804" s="13" t="s">
        <v>197</v>
      </c>
      <c r="H804" s="20" t="s">
        <v>44</v>
      </c>
      <c r="I804" s="20" t="s">
        <v>965</v>
      </c>
      <c r="J804" s="12">
        <v>1103296</v>
      </c>
      <c r="K804" s="12"/>
      <c r="L804" s="12"/>
      <c r="M804" s="12">
        <v>1103296</v>
      </c>
      <c r="N804" s="12">
        <v>130000</v>
      </c>
      <c r="O804" s="12"/>
      <c r="P804" s="12"/>
      <c r="Q804" s="12">
        <v>130000</v>
      </c>
      <c r="R804" s="12">
        <v>130000</v>
      </c>
      <c r="S804" s="12"/>
      <c r="T804" s="12"/>
      <c r="U804" s="12">
        <v>130000</v>
      </c>
      <c r="V804" s="95">
        <v>480000</v>
      </c>
      <c r="W804" s="12">
        <f t="shared" si="459"/>
        <v>180000</v>
      </c>
      <c r="X804" s="12"/>
      <c r="Y804" s="12">
        <v>180000</v>
      </c>
      <c r="Z804" s="12"/>
      <c r="AA804" s="12"/>
      <c r="AB804" s="91" t="s">
        <v>1639</v>
      </c>
      <c r="AC804" s="380">
        <f t="shared" si="455"/>
        <v>0</v>
      </c>
      <c r="AJ804" s="8" t="s">
        <v>685</v>
      </c>
    </row>
    <row r="805" spans="1:36" s="10" customFormat="1" ht="21" customHeight="1">
      <c r="A805" s="398" t="s">
        <v>1306</v>
      </c>
      <c r="B805" s="326" t="s">
        <v>163</v>
      </c>
      <c r="C805" s="15" t="s">
        <v>718</v>
      </c>
      <c r="D805" s="473"/>
      <c r="E805" s="473"/>
      <c r="F805" s="473"/>
      <c r="G805" s="328"/>
      <c r="H805" s="473"/>
      <c r="I805" s="473"/>
      <c r="J805" s="436"/>
      <c r="K805" s="436"/>
      <c r="L805" s="436"/>
      <c r="M805" s="436"/>
      <c r="N805" s="436"/>
      <c r="O805" s="436"/>
      <c r="P805" s="436"/>
      <c r="Q805" s="436"/>
      <c r="R805" s="436"/>
      <c r="S805" s="436"/>
      <c r="T805" s="436"/>
      <c r="U805" s="436"/>
      <c r="V805" s="436"/>
      <c r="W805" s="436"/>
      <c r="X805" s="436"/>
      <c r="Y805" s="436"/>
      <c r="Z805" s="436"/>
      <c r="AA805" s="436"/>
      <c r="AB805" s="437"/>
      <c r="AC805" s="380">
        <f t="shared" si="455"/>
        <v>0</v>
      </c>
    </row>
    <row r="806" spans="1:36" s="8" customFormat="1" ht="50.25" customHeight="1">
      <c r="A806" s="426" t="s">
        <v>1351</v>
      </c>
      <c r="B806" s="317" t="s">
        <v>966</v>
      </c>
      <c r="C806" s="317" t="s">
        <v>966</v>
      </c>
      <c r="D806" s="20"/>
      <c r="E806" s="20"/>
      <c r="F806" s="20"/>
      <c r="G806" s="13"/>
      <c r="H806" s="20"/>
      <c r="I806" s="20"/>
      <c r="J806" s="14">
        <f t="shared" ref="J806:AA806" si="460">J807</f>
        <v>44000</v>
      </c>
      <c r="K806" s="14">
        <f t="shared" si="460"/>
        <v>0</v>
      </c>
      <c r="L806" s="14">
        <f t="shared" si="460"/>
        <v>0</v>
      </c>
      <c r="M806" s="14">
        <f t="shared" si="460"/>
        <v>44000</v>
      </c>
      <c r="N806" s="14">
        <f t="shared" si="460"/>
        <v>30179</v>
      </c>
      <c r="O806" s="14">
        <f t="shared" si="460"/>
        <v>0</v>
      </c>
      <c r="P806" s="14">
        <f t="shared" si="460"/>
        <v>0</v>
      </c>
      <c r="Q806" s="14">
        <f t="shared" si="460"/>
        <v>30179</v>
      </c>
      <c r="R806" s="14">
        <f t="shared" si="460"/>
        <v>30179</v>
      </c>
      <c r="S806" s="14">
        <f t="shared" si="460"/>
        <v>0</v>
      </c>
      <c r="T806" s="14">
        <f t="shared" si="460"/>
        <v>0</v>
      </c>
      <c r="U806" s="14">
        <f t="shared" si="460"/>
        <v>30179</v>
      </c>
      <c r="V806" s="14">
        <f t="shared" si="460"/>
        <v>13821</v>
      </c>
      <c r="W806" s="14">
        <f t="shared" si="460"/>
        <v>13821</v>
      </c>
      <c r="X806" s="14">
        <f t="shared" si="460"/>
        <v>13821</v>
      </c>
      <c r="Y806" s="14">
        <f t="shared" si="460"/>
        <v>0</v>
      </c>
      <c r="Z806" s="14">
        <f t="shared" si="460"/>
        <v>0</v>
      </c>
      <c r="AA806" s="14">
        <f t="shared" si="460"/>
        <v>0</v>
      </c>
      <c r="AB806" s="102"/>
      <c r="AC806" s="380">
        <f t="shared" si="455"/>
        <v>0</v>
      </c>
    </row>
    <row r="807" spans="1:36" s="10" customFormat="1" ht="47.25" customHeight="1">
      <c r="A807" s="495" t="s">
        <v>1352</v>
      </c>
      <c r="B807" s="394" t="s">
        <v>38</v>
      </c>
      <c r="C807" s="15" t="s">
        <v>966</v>
      </c>
      <c r="D807" s="473"/>
      <c r="E807" s="473"/>
      <c r="F807" s="473"/>
      <c r="G807" s="328"/>
      <c r="H807" s="473"/>
      <c r="I807" s="473"/>
      <c r="J807" s="453">
        <f t="shared" ref="J807:AA807" si="461">+J808+J809+J812</f>
        <v>44000</v>
      </c>
      <c r="K807" s="453">
        <f t="shared" si="461"/>
        <v>0</v>
      </c>
      <c r="L807" s="453">
        <f t="shared" si="461"/>
        <v>0</v>
      </c>
      <c r="M807" s="453">
        <f t="shared" si="461"/>
        <v>44000</v>
      </c>
      <c r="N807" s="453">
        <f t="shared" si="461"/>
        <v>30179</v>
      </c>
      <c r="O807" s="453">
        <f t="shared" si="461"/>
        <v>0</v>
      </c>
      <c r="P807" s="453">
        <f t="shared" si="461"/>
        <v>0</v>
      </c>
      <c r="Q807" s="453">
        <f t="shared" si="461"/>
        <v>30179</v>
      </c>
      <c r="R807" s="453">
        <f t="shared" si="461"/>
        <v>30179</v>
      </c>
      <c r="S807" s="453">
        <f t="shared" si="461"/>
        <v>0</v>
      </c>
      <c r="T807" s="453">
        <f t="shared" si="461"/>
        <v>0</v>
      </c>
      <c r="U807" s="453">
        <f t="shared" si="461"/>
        <v>30179</v>
      </c>
      <c r="V807" s="453">
        <f t="shared" si="461"/>
        <v>13821</v>
      </c>
      <c r="W807" s="453">
        <f t="shared" si="461"/>
        <v>13821</v>
      </c>
      <c r="X807" s="453">
        <f t="shared" si="461"/>
        <v>13821</v>
      </c>
      <c r="Y807" s="453">
        <f t="shared" si="461"/>
        <v>0</v>
      </c>
      <c r="Z807" s="453">
        <f t="shared" si="461"/>
        <v>0</v>
      </c>
      <c r="AA807" s="453">
        <f t="shared" si="461"/>
        <v>0</v>
      </c>
      <c r="AB807" s="454"/>
      <c r="AC807" s="380">
        <f t="shared" si="455"/>
        <v>0</v>
      </c>
    </row>
    <row r="808" spans="1:36" s="10" customFormat="1" ht="39.75" customHeight="1">
      <c r="A808" s="332" t="s">
        <v>39</v>
      </c>
      <c r="B808" s="326" t="s">
        <v>1254</v>
      </c>
      <c r="C808" s="15" t="s">
        <v>966</v>
      </c>
      <c r="D808" s="554"/>
      <c r="E808" s="332"/>
      <c r="F808" s="471"/>
      <c r="G808" s="471"/>
      <c r="H808" s="332"/>
      <c r="I808" s="471"/>
      <c r="J808" s="331"/>
      <c r="K808" s="331"/>
      <c r="L808" s="331"/>
      <c r="M808" s="331"/>
      <c r="N808" s="331"/>
      <c r="O808" s="331"/>
      <c r="P808" s="331"/>
      <c r="Q808" s="331"/>
      <c r="R808" s="331"/>
      <c r="S808" s="331"/>
      <c r="T808" s="331"/>
      <c r="U808" s="331"/>
      <c r="V808" s="331"/>
      <c r="W808" s="331"/>
      <c r="X808" s="331"/>
      <c r="Y808" s="331"/>
      <c r="Z808" s="331"/>
      <c r="AA808" s="331"/>
      <c r="AB808" s="332"/>
      <c r="AC808" s="380">
        <f t="shared" si="455"/>
        <v>0</v>
      </c>
    </row>
    <row r="809" spans="1:36" s="10" customFormat="1" ht="47.25" customHeight="1">
      <c r="A809" s="398" t="s">
        <v>467</v>
      </c>
      <c r="B809" s="326" t="s">
        <v>56</v>
      </c>
      <c r="C809" s="15" t="s">
        <v>966</v>
      </c>
      <c r="D809" s="473"/>
      <c r="E809" s="473"/>
      <c r="F809" s="473"/>
      <c r="G809" s="328"/>
      <c r="H809" s="473"/>
      <c r="I809" s="473"/>
      <c r="J809" s="436">
        <f>SUM(J810:J811)</f>
        <v>44000</v>
      </c>
      <c r="K809" s="436">
        <f t="shared" ref="K809:AA809" si="462">SUM(K810:K811)</f>
        <v>0</v>
      </c>
      <c r="L809" s="436">
        <f t="shared" si="462"/>
        <v>0</v>
      </c>
      <c r="M809" s="436">
        <f t="shared" si="462"/>
        <v>44000</v>
      </c>
      <c r="N809" s="436">
        <f t="shared" si="462"/>
        <v>30179</v>
      </c>
      <c r="O809" s="436">
        <f t="shared" si="462"/>
        <v>0</v>
      </c>
      <c r="P809" s="436">
        <f t="shared" si="462"/>
        <v>0</v>
      </c>
      <c r="Q809" s="436">
        <f t="shared" si="462"/>
        <v>30179</v>
      </c>
      <c r="R809" s="436">
        <f t="shared" si="462"/>
        <v>30179</v>
      </c>
      <c r="S809" s="436">
        <f t="shared" si="462"/>
        <v>0</v>
      </c>
      <c r="T809" s="436">
        <f t="shared" si="462"/>
        <v>0</v>
      </c>
      <c r="U809" s="436">
        <f t="shared" si="462"/>
        <v>30179</v>
      </c>
      <c r="V809" s="436">
        <f t="shared" si="462"/>
        <v>13821</v>
      </c>
      <c r="W809" s="436">
        <f>SUM(W810:W811)</f>
        <v>13821</v>
      </c>
      <c r="X809" s="436">
        <f t="shared" si="462"/>
        <v>13821</v>
      </c>
      <c r="Y809" s="436">
        <f t="shared" si="462"/>
        <v>0</v>
      </c>
      <c r="Z809" s="436">
        <f t="shared" si="462"/>
        <v>0</v>
      </c>
      <c r="AA809" s="436">
        <f t="shared" si="462"/>
        <v>0</v>
      </c>
      <c r="AB809" s="437"/>
      <c r="AC809" s="380">
        <f t="shared" si="455"/>
        <v>0</v>
      </c>
    </row>
    <row r="810" spans="1:36" s="8" customFormat="1" ht="58.5" customHeight="1">
      <c r="A810" s="430" t="s">
        <v>144</v>
      </c>
      <c r="B810" s="15" t="s">
        <v>967</v>
      </c>
      <c r="C810" s="15" t="s">
        <v>966</v>
      </c>
      <c r="D810" s="20">
        <v>7928798</v>
      </c>
      <c r="E810" s="20"/>
      <c r="F810" s="20" t="s">
        <v>968</v>
      </c>
      <c r="G810" s="13" t="s">
        <v>969</v>
      </c>
      <c r="H810" s="20" t="s">
        <v>44</v>
      </c>
      <c r="I810" s="20" t="s">
        <v>970</v>
      </c>
      <c r="J810" s="12">
        <v>30000</v>
      </c>
      <c r="K810" s="12"/>
      <c r="L810" s="12"/>
      <c r="M810" s="12">
        <v>30000</v>
      </c>
      <c r="N810" s="12">
        <v>23551</v>
      </c>
      <c r="O810" s="12"/>
      <c r="P810" s="12"/>
      <c r="Q810" s="12">
        <v>23551</v>
      </c>
      <c r="R810" s="12">
        <v>23551</v>
      </c>
      <c r="S810" s="12"/>
      <c r="T810" s="12"/>
      <c r="U810" s="12">
        <v>23551</v>
      </c>
      <c r="V810" s="44">
        <v>6449</v>
      </c>
      <c r="W810" s="12">
        <f>SUM(X810:AA810)</f>
        <v>6449</v>
      </c>
      <c r="X810" s="12">
        <v>6449</v>
      </c>
      <c r="Y810" s="12"/>
      <c r="Z810" s="12"/>
      <c r="AA810" s="12"/>
      <c r="AB810" s="91" t="s">
        <v>1622</v>
      </c>
      <c r="AC810" s="380">
        <f t="shared" si="455"/>
        <v>0</v>
      </c>
      <c r="AJ810" s="8" t="s">
        <v>685</v>
      </c>
    </row>
    <row r="811" spans="1:36" s="8" customFormat="1" ht="58.5" customHeight="1">
      <c r="A811" s="430" t="s">
        <v>144</v>
      </c>
      <c r="B811" s="15" t="s">
        <v>1672</v>
      </c>
      <c r="C811" s="15" t="s">
        <v>966</v>
      </c>
      <c r="D811" s="20"/>
      <c r="E811" s="20"/>
      <c r="F811" s="20"/>
      <c r="G811" s="13"/>
      <c r="H811" s="20"/>
      <c r="I811" s="20" t="s">
        <v>1673</v>
      </c>
      <c r="J811" s="12">
        <v>14000</v>
      </c>
      <c r="K811" s="12"/>
      <c r="L811" s="12"/>
      <c r="M811" s="12">
        <v>14000</v>
      </c>
      <c r="N811" s="12">
        <v>6628</v>
      </c>
      <c r="O811" s="12"/>
      <c r="P811" s="12"/>
      <c r="Q811" s="12">
        <v>6628</v>
      </c>
      <c r="R811" s="12">
        <v>6628</v>
      </c>
      <c r="S811" s="12"/>
      <c r="T811" s="12"/>
      <c r="U811" s="12">
        <v>6628</v>
      </c>
      <c r="V811" s="44">
        <v>7372</v>
      </c>
      <c r="W811" s="12">
        <f>SUM(X811:AA811)</f>
        <v>7372</v>
      </c>
      <c r="X811" s="44">
        <v>7372</v>
      </c>
      <c r="Y811" s="12"/>
      <c r="Z811" s="12"/>
      <c r="AA811" s="12"/>
      <c r="AB811" s="91" t="s">
        <v>1622</v>
      </c>
      <c r="AC811" s="380">
        <f t="shared" si="455"/>
        <v>0</v>
      </c>
      <c r="AJ811" s="8" t="s">
        <v>685</v>
      </c>
    </row>
    <row r="812" spans="1:36" s="728" customFormat="1" ht="38.25" customHeight="1">
      <c r="A812" s="723" t="s">
        <v>1306</v>
      </c>
      <c r="B812" s="724" t="s">
        <v>1307</v>
      </c>
      <c r="C812" s="724"/>
      <c r="D812" s="725"/>
      <c r="E812" s="725"/>
      <c r="F812" s="725"/>
      <c r="G812" s="587"/>
      <c r="H812" s="725"/>
      <c r="I812" s="725"/>
      <c r="J812" s="726"/>
      <c r="K812" s="726"/>
      <c r="L812" s="726"/>
      <c r="M812" s="726"/>
      <c r="N812" s="726"/>
      <c r="O812" s="726"/>
      <c r="P812" s="726"/>
      <c r="Q812" s="726"/>
      <c r="R812" s="726"/>
      <c r="S812" s="726"/>
      <c r="T812" s="726"/>
      <c r="U812" s="726"/>
      <c r="V812" s="726"/>
      <c r="W812" s="726"/>
      <c r="X812" s="726"/>
      <c r="Y812" s="726"/>
      <c r="Z812" s="726"/>
      <c r="AA812" s="726"/>
      <c r="AB812" s="727"/>
      <c r="AC812" s="380">
        <f t="shared" si="455"/>
        <v>0</v>
      </c>
    </row>
    <row r="813" spans="1:36" s="231" customFormat="1" ht="41.25" customHeight="1">
      <c r="A813" s="426" t="s">
        <v>1353</v>
      </c>
      <c r="B813" s="317" t="s">
        <v>732</v>
      </c>
      <c r="C813" s="317" t="s">
        <v>732</v>
      </c>
      <c r="D813" s="306"/>
      <c r="E813" s="306"/>
      <c r="F813" s="306"/>
      <c r="G813" s="320"/>
      <c r="H813" s="306"/>
      <c r="I813" s="306"/>
      <c r="J813" s="14">
        <f t="shared" ref="J813:AA813" si="463">J814</f>
        <v>99850</v>
      </c>
      <c r="K813" s="14">
        <f t="shared" si="463"/>
        <v>0</v>
      </c>
      <c r="L813" s="14">
        <f t="shared" si="463"/>
        <v>50000</v>
      </c>
      <c r="M813" s="14">
        <f t="shared" si="463"/>
        <v>49850</v>
      </c>
      <c r="N813" s="14">
        <f t="shared" si="463"/>
        <v>49992</v>
      </c>
      <c r="O813" s="14">
        <f t="shared" si="463"/>
        <v>0</v>
      </c>
      <c r="P813" s="14">
        <f t="shared" si="463"/>
        <v>49992</v>
      </c>
      <c r="Q813" s="14">
        <f t="shared" si="463"/>
        <v>0</v>
      </c>
      <c r="R813" s="14">
        <f t="shared" si="463"/>
        <v>50000</v>
      </c>
      <c r="S813" s="14">
        <f t="shared" si="463"/>
        <v>0</v>
      </c>
      <c r="T813" s="14">
        <f t="shared" si="463"/>
        <v>50000</v>
      </c>
      <c r="U813" s="14">
        <f t="shared" si="463"/>
        <v>0</v>
      </c>
      <c r="V813" s="14">
        <f t="shared" si="463"/>
        <v>49850</v>
      </c>
      <c r="W813" s="14">
        <f t="shared" si="463"/>
        <v>35000</v>
      </c>
      <c r="X813" s="14">
        <f t="shared" si="463"/>
        <v>0</v>
      </c>
      <c r="Y813" s="14">
        <f t="shared" si="463"/>
        <v>35000</v>
      </c>
      <c r="Z813" s="14">
        <f t="shared" si="463"/>
        <v>0</v>
      </c>
      <c r="AA813" s="14">
        <f t="shared" si="463"/>
        <v>0</v>
      </c>
      <c r="AB813" s="102"/>
      <c r="AC813" s="380">
        <f t="shared" si="455"/>
        <v>0</v>
      </c>
    </row>
    <row r="814" spans="1:36" s="422" customFormat="1" ht="33.75" customHeight="1">
      <c r="A814" s="495" t="s">
        <v>1354</v>
      </c>
      <c r="B814" s="394" t="s">
        <v>38</v>
      </c>
      <c r="C814" s="15" t="s">
        <v>732</v>
      </c>
      <c r="D814" s="722"/>
      <c r="E814" s="722"/>
      <c r="F814" s="722"/>
      <c r="G814" s="421"/>
      <c r="H814" s="722"/>
      <c r="I814" s="722"/>
      <c r="J814" s="453">
        <f>J816+J818+J815</f>
        <v>99850</v>
      </c>
      <c r="K814" s="453">
        <f t="shared" ref="K814:AA814" si="464">K816+K818+K815</f>
        <v>0</v>
      </c>
      <c r="L814" s="453">
        <f t="shared" si="464"/>
        <v>50000</v>
      </c>
      <c r="M814" s="453">
        <f t="shared" si="464"/>
        <v>49850</v>
      </c>
      <c r="N814" s="453">
        <f t="shared" si="464"/>
        <v>49992</v>
      </c>
      <c r="O814" s="453">
        <f t="shared" si="464"/>
        <v>0</v>
      </c>
      <c r="P814" s="453">
        <f t="shared" si="464"/>
        <v>49992</v>
      </c>
      <c r="Q814" s="453">
        <f t="shared" si="464"/>
        <v>0</v>
      </c>
      <c r="R814" s="453">
        <f t="shared" si="464"/>
        <v>50000</v>
      </c>
      <c r="S814" s="453">
        <f t="shared" si="464"/>
        <v>0</v>
      </c>
      <c r="T814" s="453">
        <f t="shared" si="464"/>
        <v>50000</v>
      </c>
      <c r="U814" s="453">
        <f t="shared" si="464"/>
        <v>0</v>
      </c>
      <c r="V814" s="453">
        <f t="shared" si="464"/>
        <v>49850</v>
      </c>
      <c r="W814" s="453">
        <f>W816+W818+W815</f>
        <v>35000</v>
      </c>
      <c r="X814" s="453">
        <f t="shared" si="464"/>
        <v>0</v>
      </c>
      <c r="Y814" s="453">
        <f t="shared" si="464"/>
        <v>35000</v>
      </c>
      <c r="Z814" s="453">
        <f t="shared" si="464"/>
        <v>0</v>
      </c>
      <c r="AA814" s="453">
        <f t="shared" si="464"/>
        <v>0</v>
      </c>
      <c r="AB814" s="454"/>
      <c r="AC814" s="380">
        <f t="shared" si="455"/>
        <v>0</v>
      </c>
    </row>
    <row r="815" spans="1:36" s="10" customFormat="1" ht="39.75" customHeight="1">
      <c r="A815" s="332" t="s">
        <v>39</v>
      </c>
      <c r="B815" s="326" t="s">
        <v>1254</v>
      </c>
      <c r="C815" s="15" t="s">
        <v>732</v>
      </c>
      <c r="D815" s="554"/>
      <c r="E815" s="332"/>
      <c r="F815" s="471"/>
      <c r="G815" s="471"/>
      <c r="H815" s="332"/>
      <c r="I815" s="471"/>
      <c r="J815" s="331"/>
      <c r="K815" s="331"/>
      <c r="L815" s="331"/>
      <c r="M815" s="331"/>
      <c r="N815" s="331"/>
      <c r="O815" s="331"/>
      <c r="P815" s="331"/>
      <c r="Q815" s="331"/>
      <c r="R815" s="331"/>
      <c r="S815" s="331"/>
      <c r="T815" s="331"/>
      <c r="U815" s="331"/>
      <c r="V815" s="331"/>
      <c r="W815" s="331"/>
      <c r="X815" s="331"/>
      <c r="Y815" s="331"/>
      <c r="Z815" s="331"/>
      <c r="AA815" s="331"/>
      <c r="AB815" s="332"/>
      <c r="AC815" s="380">
        <f t="shared" si="455"/>
        <v>0</v>
      </c>
    </row>
    <row r="816" spans="1:36" s="10" customFormat="1" ht="45.75" customHeight="1">
      <c r="A816" s="398" t="s">
        <v>467</v>
      </c>
      <c r="B816" s="326" t="s">
        <v>56</v>
      </c>
      <c r="C816" s="15" t="s">
        <v>732</v>
      </c>
      <c r="D816" s="473"/>
      <c r="E816" s="473"/>
      <c r="F816" s="473"/>
      <c r="G816" s="328"/>
      <c r="H816" s="473"/>
      <c r="I816" s="473"/>
      <c r="J816" s="436">
        <f t="shared" ref="J816:AA816" si="465">J817</f>
        <v>99850</v>
      </c>
      <c r="K816" s="436">
        <f t="shared" si="465"/>
        <v>0</v>
      </c>
      <c r="L816" s="436">
        <f t="shared" si="465"/>
        <v>50000</v>
      </c>
      <c r="M816" s="436">
        <f t="shared" si="465"/>
        <v>49850</v>
      </c>
      <c r="N816" s="436">
        <f t="shared" si="465"/>
        <v>49992</v>
      </c>
      <c r="O816" s="436">
        <f t="shared" si="465"/>
        <v>0</v>
      </c>
      <c r="P816" s="436">
        <f t="shared" si="465"/>
        <v>49992</v>
      </c>
      <c r="Q816" s="436">
        <f t="shared" si="465"/>
        <v>0</v>
      </c>
      <c r="R816" s="436">
        <f t="shared" si="465"/>
        <v>50000</v>
      </c>
      <c r="S816" s="436">
        <f t="shared" si="465"/>
        <v>0</v>
      </c>
      <c r="T816" s="436">
        <f t="shared" si="465"/>
        <v>50000</v>
      </c>
      <c r="U816" s="436">
        <f t="shared" si="465"/>
        <v>0</v>
      </c>
      <c r="V816" s="436">
        <f t="shared" si="465"/>
        <v>49850</v>
      </c>
      <c r="W816" s="436">
        <f t="shared" si="465"/>
        <v>35000</v>
      </c>
      <c r="X816" s="436">
        <f t="shared" si="465"/>
        <v>0</v>
      </c>
      <c r="Y816" s="436">
        <f t="shared" si="465"/>
        <v>35000</v>
      </c>
      <c r="Z816" s="436">
        <f t="shared" si="465"/>
        <v>0</v>
      </c>
      <c r="AA816" s="436">
        <f t="shared" si="465"/>
        <v>0</v>
      </c>
      <c r="AB816" s="437"/>
      <c r="AC816" s="380">
        <f t="shared" si="455"/>
        <v>0</v>
      </c>
    </row>
    <row r="817" spans="1:36" s="8" customFormat="1" ht="44.25" customHeight="1">
      <c r="A817" s="430" t="s">
        <v>144</v>
      </c>
      <c r="B817" s="15" t="s">
        <v>971</v>
      </c>
      <c r="C817" s="15" t="s">
        <v>732</v>
      </c>
      <c r="D817" s="20">
        <v>7747255</v>
      </c>
      <c r="E817" s="20"/>
      <c r="F817" s="20" t="s">
        <v>734</v>
      </c>
      <c r="G817" s="13" t="s">
        <v>972</v>
      </c>
      <c r="H817" s="20" t="s">
        <v>73</v>
      </c>
      <c r="I817" s="20" t="s">
        <v>973</v>
      </c>
      <c r="J817" s="12">
        <v>99850</v>
      </c>
      <c r="K817" s="12"/>
      <c r="L817" s="12">
        <v>50000</v>
      </c>
      <c r="M817" s="12">
        <v>49850</v>
      </c>
      <c r="N817" s="12">
        <v>49992</v>
      </c>
      <c r="O817" s="12"/>
      <c r="P817" s="12">
        <v>49992</v>
      </c>
      <c r="Q817" s="12"/>
      <c r="R817" s="12">
        <v>50000</v>
      </c>
      <c r="S817" s="12"/>
      <c r="T817" s="12">
        <v>50000</v>
      </c>
      <c r="U817" s="12"/>
      <c r="V817" s="407">
        <v>49850</v>
      </c>
      <c r="W817" s="12">
        <f>SUM(X817:AA817)</f>
        <v>35000</v>
      </c>
      <c r="X817" s="12"/>
      <c r="Y817" s="12">
        <v>35000</v>
      </c>
      <c r="Z817" s="12"/>
      <c r="AA817" s="12"/>
      <c r="AB817" s="91" t="s">
        <v>1622</v>
      </c>
      <c r="AC817" s="380">
        <f t="shared" si="455"/>
        <v>0</v>
      </c>
      <c r="AJ817" s="8" t="s">
        <v>685</v>
      </c>
    </row>
    <row r="818" spans="1:36" s="10" customFormat="1" ht="33.75" customHeight="1">
      <c r="A818" s="398" t="s">
        <v>1306</v>
      </c>
      <c r="B818" s="413" t="s">
        <v>1307</v>
      </c>
      <c r="C818" s="15" t="s">
        <v>732</v>
      </c>
      <c r="D818" s="473"/>
      <c r="E818" s="473"/>
      <c r="F818" s="473"/>
      <c r="G818" s="328"/>
      <c r="H818" s="473"/>
      <c r="I818" s="473"/>
      <c r="J818" s="436"/>
      <c r="K818" s="436"/>
      <c r="L818" s="436"/>
      <c r="M818" s="436"/>
      <c r="N818" s="436"/>
      <c r="O818" s="436"/>
      <c r="P818" s="436"/>
      <c r="Q818" s="436"/>
      <c r="R818" s="436"/>
      <c r="S818" s="436"/>
      <c r="T818" s="436"/>
      <c r="U818" s="436"/>
      <c r="V818" s="436"/>
      <c r="W818" s="436"/>
      <c r="X818" s="436"/>
      <c r="Y818" s="436"/>
      <c r="Z818" s="436"/>
      <c r="AA818" s="436"/>
      <c r="AB818" s="437"/>
      <c r="AC818" s="380">
        <f t="shared" si="455"/>
        <v>0</v>
      </c>
    </row>
    <row r="819" spans="1:36" s="8" customFormat="1" ht="40.5" customHeight="1">
      <c r="A819" s="426" t="s">
        <v>1355</v>
      </c>
      <c r="B819" s="317" t="s">
        <v>974</v>
      </c>
      <c r="C819" s="317" t="s">
        <v>974</v>
      </c>
      <c r="D819" s="20"/>
      <c r="E819" s="20"/>
      <c r="F819" s="20"/>
      <c r="G819" s="13"/>
      <c r="H819" s="20"/>
      <c r="I819" s="20"/>
      <c r="J819" s="14">
        <f t="shared" ref="J819:AA819" si="466">J820</f>
        <v>204794</v>
      </c>
      <c r="K819" s="14">
        <f t="shared" si="466"/>
        <v>0</v>
      </c>
      <c r="L819" s="14">
        <f t="shared" si="466"/>
        <v>0</v>
      </c>
      <c r="M819" s="14">
        <f t="shared" si="466"/>
        <v>204794</v>
      </c>
      <c r="N819" s="14">
        <f t="shared" si="466"/>
        <v>86244</v>
      </c>
      <c r="O819" s="14">
        <f t="shared" si="466"/>
        <v>0</v>
      </c>
      <c r="P819" s="14">
        <f t="shared" si="466"/>
        <v>0</v>
      </c>
      <c r="Q819" s="14">
        <f t="shared" si="466"/>
        <v>86244</v>
      </c>
      <c r="R819" s="14">
        <f t="shared" si="466"/>
        <v>109000</v>
      </c>
      <c r="S819" s="14">
        <f t="shared" si="466"/>
        <v>0</v>
      </c>
      <c r="T819" s="14">
        <f t="shared" si="466"/>
        <v>0</v>
      </c>
      <c r="U819" s="14">
        <f t="shared" si="466"/>
        <v>109000</v>
      </c>
      <c r="V819" s="14">
        <f t="shared" si="466"/>
        <v>102234</v>
      </c>
      <c r="W819" s="14">
        <f t="shared" si="466"/>
        <v>76400</v>
      </c>
      <c r="X819" s="14">
        <f t="shared" si="466"/>
        <v>0</v>
      </c>
      <c r="Y819" s="14">
        <f t="shared" si="466"/>
        <v>76400</v>
      </c>
      <c r="Z819" s="14">
        <f t="shared" si="466"/>
        <v>0</v>
      </c>
      <c r="AA819" s="14">
        <f t="shared" si="466"/>
        <v>0</v>
      </c>
      <c r="AB819" s="102"/>
      <c r="AC819" s="380">
        <f t="shared" si="455"/>
        <v>0</v>
      </c>
    </row>
    <row r="820" spans="1:36" s="10" customFormat="1" ht="30" customHeight="1">
      <c r="A820" s="495" t="s">
        <v>1356</v>
      </c>
      <c r="B820" s="394" t="s">
        <v>38</v>
      </c>
      <c r="C820" s="15" t="s">
        <v>974</v>
      </c>
      <c r="D820" s="473"/>
      <c r="E820" s="473"/>
      <c r="F820" s="473"/>
      <c r="G820" s="328"/>
      <c r="H820" s="473"/>
      <c r="I820" s="473"/>
      <c r="J820" s="453">
        <f t="shared" ref="J820:AB820" si="467">J822+J821+J828</f>
        <v>204794</v>
      </c>
      <c r="K820" s="453">
        <f t="shared" si="467"/>
        <v>0</v>
      </c>
      <c r="L820" s="453">
        <f t="shared" si="467"/>
        <v>0</v>
      </c>
      <c r="M820" s="453">
        <f t="shared" si="467"/>
        <v>204794</v>
      </c>
      <c r="N820" s="453">
        <f t="shared" si="467"/>
        <v>86244</v>
      </c>
      <c r="O820" s="453">
        <f t="shared" si="467"/>
        <v>0</v>
      </c>
      <c r="P820" s="453">
        <f t="shared" si="467"/>
        <v>0</v>
      </c>
      <c r="Q820" s="453">
        <f t="shared" si="467"/>
        <v>86244</v>
      </c>
      <c r="R820" s="453">
        <f t="shared" si="467"/>
        <v>109000</v>
      </c>
      <c r="S820" s="453">
        <f t="shared" si="467"/>
        <v>0</v>
      </c>
      <c r="T820" s="453">
        <f t="shared" si="467"/>
        <v>0</v>
      </c>
      <c r="U820" s="453">
        <f t="shared" si="467"/>
        <v>109000</v>
      </c>
      <c r="V820" s="453">
        <f t="shared" si="467"/>
        <v>102234</v>
      </c>
      <c r="W820" s="453">
        <f t="shared" si="467"/>
        <v>76400</v>
      </c>
      <c r="X820" s="453">
        <f t="shared" si="467"/>
        <v>0</v>
      </c>
      <c r="Y820" s="453">
        <f t="shared" si="467"/>
        <v>76400</v>
      </c>
      <c r="Z820" s="453">
        <f t="shared" si="467"/>
        <v>0</v>
      </c>
      <c r="AA820" s="453">
        <f t="shared" si="467"/>
        <v>0</v>
      </c>
      <c r="AB820" s="454">
        <f t="shared" si="467"/>
        <v>0</v>
      </c>
      <c r="AC820" s="380">
        <f t="shared" si="455"/>
        <v>0</v>
      </c>
    </row>
    <row r="821" spans="1:36" s="10" customFormat="1" ht="39.75" customHeight="1">
      <c r="A821" s="332" t="s">
        <v>39</v>
      </c>
      <c r="B821" s="326" t="s">
        <v>1254</v>
      </c>
      <c r="C821" s="15" t="s">
        <v>974</v>
      </c>
      <c r="D821" s="554"/>
      <c r="E821" s="332"/>
      <c r="F821" s="471"/>
      <c r="G821" s="471"/>
      <c r="H821" s="332"/>
      <c r="I821" s="471"/>
      <c r="J821" s="331"/>
      <c r="K821" s="331"/>
      <c r="L821" s="331"/>
      <c r="M821" s="331"/>
      <c r="N821" s="331"/>
      <c r="O821" s="331"/>
      <c r="P821" s="331"/>
      <c r="Q821" s="331"/>
      <c r="R821" s="331"/>
      <c r="S821" s="331"/>
      <c r="T821" s="331"/>
      <c r="U821" s="331"/>
      <c r="V821" s="331"/>
      <c r="W821" s="331"/>
      <c r="X821" s="331"/>
      <c r="Y821" s="331"/>
      <c r="Z821" s="331"/>
      <c r="AA821" s="331"/>
      <c r="AB821" s="332"/>
      <c r="AC821" s="380">
        <f t="shared" si="455"/>
        <v>0</v>
      </c>
    </row>
    <row r="822" spans="1:36" s="10" customFormat="1" ht="43.5" customHeight="1">
      <c r="A822" s="398" t="s">
        <v>467</v>
      </c>
      <c r="B822" s="326" t="s">
        <v>56</v>
      </c>
      <c r="C822" s="15" t="s">
        <v>974</v>
      </c>
      <c r="D822" s="473"/>
      <c r="E822" s="473"/>
      <c r="F822" s="473"/>
      <c r="G822" s="328"/>
      <c r="H822" s="473"/>
      <c r="I822" s="473"/>
      <c r="J822" s="436">
        <f t="shared" ref="J822:AA822" si="468">SUM(J823:J827)</f>
        <v>204794</v>
      </c>
      <c r="K822" s="436">
        <f t="shared" si="468"/>
        <v>0</v>
      </c>
      <c r="L822" s="436">
        <f t="shared" si="468"/>
        <v>0</v>
      </c>
      <c r="M822" s="436">
        <f t="shared" si="468"/>
        <v>204794</v>
      </c>
      <c r="N822" s="436">
        <f t="shared" si="468"/>
        <v>86244</v>
      </c>
      <c r="O822" s="436">
        <f t="shared" si="468"/>
        <v>0</v>
      </c>
      <c r="P822" s="436">
        <f t="shared" si="468"/>
        <v>0</v>
      </c>
      <c r="Q822" s="436">
        <f t="shared" si="468"/>
        <v>86244</v>
      </c>
      <c r="R822" s="436">
        <f t="shared" si="468"/>
        <v>109000</v>
      </c>
      <c r="S822" s="436">
        <f t="shared" si="468"/>
        <v>0</v>
      </c>
      <c r="T822" s="436">
        <f t="shared" si="468"/>
        <v>0</v>
      </c>
      <c r="U822" s="436">
        <f t="shared" si="468"/>
        <v>109000</v>
      </c>
      <c r="V822" s="436">
        <f t="shared" si="468"/>
        <v>102234</v>
      </c>
      <c r="W822" s="436">
        <f>SUM(W823:W827)</f>
        <v>76400</v>
      </c>
      <c r="X822" s="436">
        <f t="shared" si="468"/>
        <v>0</v>
      </c>
      <c r="Y822" s="436">
        <f t="shared" si="468"/>
        <v>76400</v>
      </c>
      <c r="Z822" s="436">
        <f t="shared" si="468"/>
        <v>0</v>
      </c>
      <c r="AA822" s="436">
        <f t="shared" si="468"/>
        <v>0</v>
      </c>
      <c r="AB822" s="437"/>
      <c r="AC822" s="380">
        <f t="shared" si="455"/>
        <v>0</v>
      </c>
    </row>
    <row r="823" spans="1:36" s="8" customFormat="1" ht="64.5" customHeight="1">
      <c r="A823" s="430" t="s">
        <v>144</v>
      </c>
      <c r="B823" s="15" t="s">
        <v>975</v>
      </c>
      <c r="C823" s="15" t="s">
        <v>974</v>
      </c>
      <c r="D823" s="20">
        <v>8126561</v>
      </c>
      <c r="E823" s="20"/>
      <c r="F823" s="20" t="s">
        <v>976</v>
      </c>
      <c r="G823" s="13" t="s">
        <v>977</v>
      </c>
      <c r="H823" s="20" t="s">
        <v>136</v>
      </c>
      <c r="I823" s="20" t="s">
        <v>978</v>
      </c>
      <c r="J823" s="12">
        <v>38000</v>
      </c>
      <c r="K823" s="12"/>
      <c r="L823" s="12"/>
      <c r="M823" s="12">
        <v>38000</v>
      </c>
      <c r="N823" s="12">
        <v>5000</v>
      </c>
      <c r="O823" s="12"/>
      <c r="P823" s="12"/>
      <c r="Q823" s="12">
        <v>5000</v>
      </c>
      <c r="R823" s="12">
        <v>12300</v>
      </c>
      <c r="S823" s="12"/>
      <c r="T823" s="12"/>
      <c r="U823" s="12">
        <v>12300</v>
      </c>
      <c r="V823" s="729">
        <v>25700</v>
      </c>
      <c r="W823" s="12">
        <f>SUM(X823:AA823)</f>
        <v>20100</v>
      </c>
      <c r="X823" s="12"/>
      <c r="Y823" s="12">
        <v>20100</v>
      </c>
      <c r="Z823" s="12"/>
      <c r="AA823" s="12"/>
      <c r="AB823" s="91" t="s">
        <v>1639</v>
      </c>
      <c r="AC823" s="380">
        <f t="shared" si="455"/>
        <v>0</v>
      </c>
      <c r="AJ823" s="8" t="s">
        <v>685</v>
      </c>
    </row>
    <row r="824" spans="1:36" s="8" customFormat="1" ht="54.75" customHeight="1">
      <c r="A824" s="430" t="s">
        <v>144</v>
      </c>
      <c r="B824" s="15" t="s">
        <v>979</v>
      </c>
      <c r="C824" s="15" t="s">
        <v>974</v>
      </c>
      <c r="D824" s="20">
        <v>7969463</v>
      </c>
      <c r="E824" s="20"/>
      <c r="F824" s="20" t="s">
        <v>976</v>
      </c>
      <c r="G824" s="13" t="s">
        <v>980</v>
      </c>
      <c r="H824" s="20" t="s">
        <v>49</v>
      </c>
      <c r="I824" s="20" t="s">
        <v>981</v>
      </c>
      <c r="J824" s="12">
        <v>58000</v>
      </c>
      <c r="K824" s="12"/>
      <c r="L824" s="12"/>
      <c r="M824" s="12">
        <v>58000</v>
      </c>
      <c r="N824" s="12">
        <v>24244</v>
      </c>
      <c r="O824" s="12"/>
      <c r="P824" s="12"/>
      <c r="Q824" s="12">
        <v>24244</v>
      </c>
      <c r="R824" s="12">
        <v>36378</v>
      </c>
      <c r="S824" s="12"/>
      <c r="T824" s="12"/>
      <c r="U824" s="12">
        <v>36378</v>
      </c>
      <c r="V824" s="729">
        <v>28062</v>
      </c>
      <c r="W824" s="12">
        <f t="shared" ref="W824:W827" si="469">SUM(X824:AA824)</f>
        <v>21600</v>
      </c>
      <c r="X824" s="12"/>
      <c r="Y824" s="12">
        <v>21600</v>
      </c>
      <c r="Z824" s="12"/>
      <c r="AA824" s="12"/>
      <c r="AB824" s="91" t="s">
        <v>1622</v>
      </c>
      <c r="AC824" s="380">
        <f t="shared" si="455"/>
        <v>0</v>
      </c>
      <c r="AJ824" s="8" t="s">
        <v>685</v>
      </c>
    </row>
    <row r="825" spans="1:36" s="8" customFormat="1" ht="54.75" customHeight="1">
      <c r="A825" s="430" t="s">
        <v>144</v>
      </c>
      <c r="B825" s="15" t="s">
        <v>982</v>
      </c>
      <c r="C825" s="15" t="s">
        <v>974</v>
      </c>
      <c r="D825" s="20">
        <v>8039199</v>
      </c>
      <c r="E825" s="20"/>
      <c r="F825" s="20" t="s">
        <v>983</v>
      </c>
      <c r="G825" s="13" t="s">
        <v>984</v>
      </c>
      <c r="H825" s="20" t="s">
        <v>49</v>
      </c>
      <c r="I825" s="20" t="s">
        <v>985</v>
      </c>
      <c r="J825" s="12">
        <v>86000</v>
      </c>
      <c r="K825" s="12"/>
      <c r="L825" s="12"/>
      <c r="M825" s="12">
        <v>86000</v>
      </c>
      <c r="N825" s="12">
        <v>45000</v>
      </c>
      <c r="O825" s="12"/>
      <c r="P825" s="12"/>
      <c r="Q825" s="12">
        <v>45000</v>
      </c>
      <c r="R825" s="12">
        <v>52322</v>
      </c>
      <c r="S825" s="12"/>
      <c r="T825" s="12"/>
      <c r="U825" s="12">
        <v>52322</v>
      </c>
      <c r="V825" s="407">
        <v>33678</v>
      </c>
      <c r="W825" s="12">
        <f t="shared" si="469"/>
        <v>20000</v>
      </c>
      <c r="X825" s="12"/>
      <c r="Y825" s="12">
        <v>20000</v>
      </c>
      <c r="Z825" s="12"/>
      <c r="AA825" s="12"/>
      <c r="AB825" s="91" t="s">
        <v>1622</v>
      </c>
      <c r="AC825" s="380">
        <f t="shared" si="455"/>
        <v>0</v>
      </c>
      <c r="AJ825" s="8" t="s">
        <v>685</v>
      </c>
    </row>
    <row r="826" spans="1:36" s="8" customFormat="1" ht="54.75" customHeight="1">
      <c r="A826" s="430" t="s">
        <v>144</v>
      </c>
      <c r="B826" s="15" t="s">
        <v>986</v>
      </c>
      <c r="C826" s="15" t="s">
        <v>974</v>
      </c>
      <c r="D826" s="20">
        <v>8152545</v>
      </c>
      <c r="E826" s="20"/>
      <c r="F826" s="20" t="s">
        <v>987</v>
      </c>
      <c r="G826" s="13"/>
      <c r="H826" s="20" t="s">
        <v>136</v>
      </c>
      <c r="I826" s="20" t="s">
        <v>988</v>
      </c>
      <c r="J826" s="12">
        <v>14900</v>
      </c>
      <c r="K826" s="12"/>
      <c r="L826" s="12"/>
      <c r="M826" s="12">
        <v>14900</v>
      </c>
      <c r="N826" s="12">
        <v>9000</v>
      </c>
      <c r="O826" s="12"/>
      <c r="P826" s="12"/>
      <c r="Q826" s="12">
        <v>9000</v>
      </c>
      <c r="R826" s="12">
        <v>5000</v>
      </c>
      <c r="S826" s="12"/>
      <c r="T826" s="12"/>
      <c r="U826" s="12">
        <v>5000</v>
      </c>
      <c r="V826" s="729">
        <v>9900</v>
      </c>
      <c r="W826" s="12">
        <f t="shared" si="469"/>
        <v>9900</v>
      </c>
      <c r="X826" s="12"/>
      <c r="Y826" s="12">
        <v>9900</v>
      </c>
      <c r="Z826" s="12"/>
      <c r="AA826" s="12"/>
      <c r="AB826" s="91" t="s">
        <v>1622</v>
      </c>
      <c r="AC826" s="380">
        <f t="shared" si="455"/>
        <v>0</v>
      </c>
      <c r="AJ826" s="8" t="s">
        <v>685</v>
      </c>
    </row>
    <row r="827" spans="1:36" s="8" customFormat="1" ht="54.75" customHeight="1">
      <c r="A827" s="430" t="s">
        <v>144</v>
      </c>
      <c r="B827" s="15" t="s">
        <v>989</v>
      </c>
      <c r="C827" s="15" t="s">
        <v>974</v>
      </c>
      <c r="D827" s="20">
        <v>8150741</v>
      </c>
      <c r="E827" s="20"/>
      <c r="F827" s="20" t="s">
        <v>990</v>
      </c>
      <c r="G827" s="13" t="s">
        <v>991</v>
      </c>
      <c r="H827" s="20" t="s">
        <v>136</v>
      </c>
      <c r="I827" s="20" t="s">
        <v>992</v>
      </c>
      <c r="J827" s="12">
        <v>7894</v>
      </c>
      <c r="K827" s="12"/>
      <c r="L827" s="12"/>
      <c r="M827" s="12">
        <v>7894</v>
      </c>
      <c r="N827" s="12">
        <v>3000</v>
      </c>
      <c r="O827" s="12"/>
      <c r="P827" s="12"/>
      <c r="Q827" s="12">
        <v>3000</v>
      </c>
      <c r="R827" s="12">
        <v>3000</v>
      </c>
      <c r="S827" s="12"/>
      <c r="T827" s="12"/>
      <c r="U827" s="12">
        <v>3000</v>
      </c>
      <c r="V827" s="12">
        <v>4894</v>
      </c>
      <c r="W827" s="12">
        <f t="shared" si="469"/>
        <v>4800</v>
      </c>
      <c r="X827" s="12"/>
      <c r="Y827" s="12">
        <v>4800</v>
      </c>
      <c r="Z827" s="12"/>
      <c r="AA827" s="12"/>
      <c r="AB827" s="91" t="s">
        <v>1622</v>
      </c>
      <c r="AC827" s="380">
        <f t="shared" si="455"/>
        <v>0</v>
      </c>
      <c r="AJ827" s="8" t="s">
        <v>685</v>
      </c>
    </row>
    <row r="828" spans="1:36" s="10" customFormat="1" ht="33.75" customHeight="1">
      <c r="A828" s="398" t="s">
        <v>1306</v>
      </c>
      <c r="B828" s="413" t="s">
        <v>1307</v>
      </c>
      <c r="C828" s="15" t="s">
        <v>974</v>
      </c>
      <c r="D828" s="473"/>
      <c r="E828" s="473"/>
      <c r="F828" s="473"/>
      <c r="G828" s="328"/>
      <c r="H828" s="473"/>
      <c r="I828" s="473"/>
      <c r="J828" s="436"/>
      <c r="K828" s="436"/>
      <c r="L828" s="436"/>
      <c r="M828" s="436"/>
      <c r="N828" s="436"/>
      <c r="O828" s="436"/>
      <c r="P828" s="436"/>
      <c r="Q828" s="436"/>
      <c r="R828" s="436"/>
      <c r="S828" s="436"/>
      <c r="T828" s="436"/>
      <c r="U828" s="436"/>
      <c r="V828" s="436"/>
      <c r="W828" s="436"/>
      <c r="X828" s="436"/>
      <c r="Y828" s="436"/>
      <c r="Z828" s="436"/>
      <c r="AA828" s="436"/>
      <c r="AB828" s="437"/>
      <c r="AC828" s="380">
        <f t="shared" si="455"/>
        <v>0</v>
      </c>
    </row>
    <row r="829" spans="1:36" s="8" customFormat="1" ht="35.25" customHeight="1">
      <c r="A829" s="426" t="s">
        <v>1357</v>
      </c>
      <c r="B829" s="317" t="s">
        <v>738</v>
      </c>
      <c r="C829" s="317" t="s">
        <v>738</v>
      </c>
      <c r="D829" s="20"/>
      <c r="E829" s="20"/>
      <c r="F829" s="20"/>
      <c r="G829" s="13"/>
      <c r="H829" s="20"/>
      <c r="I829" s="20"/>
      <c r="J829" s="14">
        <f t="shared" ref="J829:AA829" si="470">J830</f>
        <v>288123</v>
      </c>
      <c r="K829" s="14">
        <f t="shared" si="470"/>
        <v>0</v>
      </c>
      <c r="L829" s="14">
        <f t="shared" si="470"/>
        <v>0</v>
      </c>
      <c r="M829" s="14">
        <f t="shared" si="470"/>
        <v>288123</v>
      </c>
      <c r="N829" s="14">
        <f t="shared" si="470"/>
        <v>33877</v>
      </c>
      <c r="O829" s="14">
        <f t="shared" si="470"/>
        <v>0</v>
      </c>
      <c r="P829" s="14">
        <f t="shared" si="470"/>
        <v>0</v>
      </c>
      <c r="Q829" s="14">
        <f t="shared" si="470"/>
        <v>33877</v>
      </c>
      <c r="R829" s="14">
        <f t="shared" si="470"/>
        <v>108877</v>
      </c>
      <c r="S829" s="14">
        <f t="shared" si="470"/>
        <v>0</v>
      </c>
      <c r="T829" s="14">
        <f t="shared" si="470"/>
        <v>0</v>
      </c>
      <c r="U829" s="14">
        <f t="shared" si="470"/>
        <v>108877</v>
      </c>
      <c r="V829" s="14">
        <f t="shared" si="470"/>
        <v>177415</v>
      </c>
      <c r="W829" s="14">
        <f t="shared" si="470"/>
        <v>72192</v>
      </c>
      <c r="X829" s="14">
        <f t="shared" si="470"/>
        <v>0</v>
      </c>
      <c r="Y829" s="14">
        <f t="shared" si="470"/>
        <v>72192</v>
      </c>
      <c r="Z829" s="14">
        <f t="shared" si="470"/>
        <v>0</v>
      </c>
      <c r="AA829" s="14">
        <f t="shared" si="470"/>
        <v>0</v>
      </c>
      <c r="AB829" s="102"/>
      <c r="AC829" s="380">
        <f t="shared" si="455"/>
        <v>0</v>
      </c>
    </row>
    <row r="830" spans="1:36" s="10" customFormat="1" ht="22.5" customHeight="1">
      <c r="A830" s="495" t="s">
        <v>1370</v>
      </c>
      <c r="B830" s="394" t="s">
        <v>38</v>
      </c>
      <c r="C830" s="15" t="s">
        <v>738</v>
      </c>
      <c r="D830" s="473"/>
      <c r="E830" s="473"/>
      <c r="F830" s="473"/>
      <c r="G830" s="328"/>
      <c r="H830" s="473"/>
      <c r="I830" s="473"/>
      <c r="J830" s="453">
        <f t="shared" ref="J830:AA830" si="471">J832+J842+J831</f>
        <v>288123</v>
      </c>
      <c r="K830" s="453">
        <f t="shared" si="471"/>
        <v>0</v>
      </c>
      <c r="L830" s="453">
        <f t="shared" si="471"/>
        <v>0</v>
      </c>
      <c r="M830" s="453">
        <f t="shared" si="471"/>
        <v>288123</v>
      </c>
      <c r="N830" s="453">
        <f t="shared" si="471"/>
        <v>33877</v>
      </c>
      <c r="O830" s="453">
        <f t="shared" si="471"/>
        <v>0</v>
      </c>
      <c r="P830" s="453">
        <f t="shared" si="471"/>
        <v>0</v>
      </c>
      <c r="Q830" s="453">
        <f t="shared" si="471"/>
        <v>33877</v>
      </c>
      <c r="R830" s="453">
        <f t="shared" si="471"/>
        <v>108877</v>
      </c>
      <c r="S830" s="453">
        <f t="shared" si="471"/>
        <v>0</v>
      </c>
      <c r="T830" s="453">
        <f t="shared" si="471"/>
        <v>0</v>
      </c>
      <c r="U830" s="453">
        <f t="shared" si="471"/>
        <v>108877</v>
      </c>
      <c r="V830" s="453">
        <f t="shared" si="471"/>
        <v>177415</v>
      </c>
      <c r="W830" s="453">
        <f t="shared" si="471"/>
        <v>72192</v>
      </c>
      <c r="X830" s="453">
        <f t="shared" si="471"/>
        <v>0</v>
      </c>
      <c r="Y830" s="453">
        <f t="shared" si="471"/>
        <v>72192</v>
      </c>
      <c r="Z830" s="453">
        <f t="shared" si="471"/>
        <v>0</v>
      </c>
      <c r="AA830" s="453">
        <f t="shared" si="471"/>
        <v>0</v>
      </c>
      <c r="AB830" s="454"/>
      <c r="AC830" s="380">
        <f t="shared" si="455"/>
        <v>0</v>
      </c>
    </row>
    <row r="831" spans="1:36" s="10" customFormat="1" ht="39.75" customHeight="1">
      <c r="A831" s="332" t="s">
        <v>39</v>
      </c>
      <c r="B831" s="326" t="s">
        <v>1254</v>
      </c>
      <c r="C831" s="15" t="s">
        <v>738</v>
      </c>
      <c r="D831" s="554"/>
      <c r="E831" s="332"/>
      <c r="F831" s="471"/>
      <c r="G831" s="471"/>
      <c r="H831" s="332"/>
      <c r="I831" s="471"/>
      <c r="J831" s="331"/>
      <c r="K831" s="331"/>
      <c r="L831" s="331"/>
      <c r="M831" s="331"/>
      <c r="N831" s="331"/>
      <c r="O831" s="331"/>
      <c r="P831" s="331"/>
      <c r="Q831" s="331"/>
      <c r="R831" s="331"/>
      <c r="S831" s="331"/>
      <c r="T831" s="331"/>
      <c r="U831" s="331"/>
      <c r="V831" s="331"/>
      <c r="W831" s="331"/>
      <c r="X831" s="331"/>
      <c r="Y831" s="331"/>
      <c r="Z831" s="331"/>
      <c r="AA831" s="331"/>
      <c r="AB831" s="332"/>
      <c r="AC831" s="380">
        <f t="shared" si="455"/>
        <v>0</v>
      </c>
    </row>
    <row r="832" spans="1:36" s="10" customFormat="1" ht="40.5" customHeight="1">
      <c r="A832" s="398" t="s">
        <v>467</v>
      </c>
      <c r="B832" s="326" t="s">
        <v>56</v>
      </c>
      <c r="C832" s="15" t="s">
        <v>738</v>
      </c>
      <c r="D832" s="473"/>
      <c r="E832" s="473"/>
      <c r="F832" s="473"/>
      <c r="G832" s="328"/>
      <c r="H832" s="473"/>
      <c r="I832" s="473"/>
      <c r="J832" s="436">
        <f t="shared" ref="J832:AA832" si="472">SUM(J833:J841)</f>
        <v>288123</v>
      </c>
      <c r="K832" s="436">
        <f t="shared" si="472"/>
        <v>0</v>
      </c>
      <c r="L832" s="436">
        <f t="shared" si="472"/>
        <v>0</v>
      </c>
      <c r="M832" s="436">
        <f t="shared" si="472"/>
        <v>288123</v>
      </c>
      <c r="N832" s="436">
        <f t="shared" si="472"/>
        <v>33877</v>
      </c>
      <c r="O832" s="436">
        <f t="shared" si="472"/>
        <v>0</v>
      </c>
      <c r="P832" s="436">
        <f t="shared" si="472"/>
        <v>0</v>
      </c>
      <c r="Q832" s="436">
        <f t="shared" si="472"/>
        <v>33877</v>
      </c>
      <c r="R832" s="436">
        <f t="shared" si="472"/>
        <v>108877</v>
      </c>
      <c r="S832" s="436">
        <f t="shared" si="472"/>
        <v>0</v>
      </c>
      <c r="T832" s="436">
        <f t="shared" si="472"/>
        <v>0</v>
      </c>
      <c r="U832" s="436">
        <f t="shared" si="472"/>
        <v>108877</v>
      </c>
      <c r="V832" s="436">
        <f t="shared" si="472"/>
        <v>177415</v>
      </c>
      <c r="W832" s="436">
        <f>SUM(W833:W841)</f>
        <v>72192</v>
      </c>
      <c r="X832" s="436">
        <f t="shared" si="472"/>
        <v>0</v>
      </c>
      <c r="Y832" s="436">
        <f t="shared" si="472"/>
        <v>72192</v>
      </c>
      <c r="Z832" s="436">
        <f t="shared" si="472"/>
        <v>0</v>
      </c>
      <c r="AA832" s="436">
        <f t="shared" si="472"/>
        <v>0</v>
      </c>
      <c r="AB832" s="437"/>
      <c r="AC832" s="380">
        <f t="shared" si="455"/>
        <v>0</v>
      </c>
    </row>
    <row r="833" spans="1:36" s="8" customFormat="1" ht="63" customHeight="1">
      <c r="A833" s="430" t="s">
        <v>144</v>
      </c>
      <c r="B833" s="15" t="s">
        <v>993</v>
      </c>
      <c r="C833" s="15" t="s">
        <v>738</v>
      </c>
      <c r="D833" s="20">
        <v>8011441</v>
      </c>
      <c r="E833" s="20"/>
      <c r="F833" s="20" t="s">
        <v>994</v>
      </c>
      <c r="G833" s="13" t="s">
        <v>995</v>
      </c>
      <c r="H833" s="20" t="s">
        <v>996</v>
      </c>
      <c r="I833" s="20" t="s">
        <v>997</v>
      </c>
      <c r="J833" s="12">
        <v>9300</v>
      </c>
      <c r="K833" s="12"/>
      <c r="L833" s="12"/>
      <c r="M833" s="12">
        <v>9300</v>
      </c>
      <c r="N833" s="12">
        <v>5979</v>
      </c>
      <c r="O833" s="12"/>
      <c r="P833" s="12"/>
      <c r="Q833" s="12">
        <v>5979</v>
      </c>
      <c r="R833" s="12">
        <v>5979</v>
      </c>
      <c r="S833" s="12"/>
      <c r="T833" s="12"/>
      <c r="U833" s="12">
        <v>5979</v>
      </c>
      <c r="V833" s="43">
        <v>2358</v>
      </c>
      <c r="W833" s="12">
        <f>SUM(X833:AA833)</f>
        <v>2358</v>
      </c>
      <c r="X833" s="12"/>
      <c r="Y833" s="12">
        <v>2358</v>
      </c>
      <c r="Z833" s="12"/>
      <c r="AA833" s="12"/>
      <c r="AB833" s="91" t="s">
        <v>1622</v>
      </c>
      <c r="AC833" s="380">
        <f t="shared" si="455"/>
        <v>0</v>
      </c>
      <c r="AJ833" s="8" t="s">
        <v>685</v>
      </c>
    </row>
    <row r="834" spans="1:36" s="8" customFormat="1" ht="54.75" customHeight="1">
      <c r="A834" s="430" t="s">
        <v>144</v>
      </c>
      <c r="B834" s="15" t="s">
        <v>998</v>
      </c>
      <c r="C834" s="15" t="s">
        <v>738</v>
      </c>
      <c r="D834" s="20">
        <v>7943927</v>
      </c>
      <c r="E834" s="20"/>
      <c r="F834" s="20" t="s">
        <v>994</v>
      </c>
      <c r="G834" s="13" t="s">
        <v>999</v>
      </c>
      <c r="H834" s="20" t="s">
        <v>370</v>
      </c>
      <c r="I834" s="20" t="s">
        <v>1000</v>
      </c>
      <c r="J834" s="12">
        <v>8500</v>
      </c>
      <c r="K834" s="12"/>
      <c r="L834" s="12"/>
      <c r="M834" s="12">
        <v>8500</v>
      </c>
      <c r="N834" s="12">
        <v>5100</v>
      </c>
      <c r="O834" s="12"/>
      <c r="P834" s="12"/>
      <c r="Q834" s="12">
        <v>5100</v>
      </c>
      <c r="R834" s="12">
        <v>5100</v>
      </c>
      <c r="S834" s="12"/>
      <c r="T834" s="12"/>
      <c r="U834" s="12">
        <v>5100</v>
      </c>
      <c r="V834" s="43">
        <v>3400</v>
      </c>
      <c r="W834" s="12">
        <f t="shared" ref="W834:W841" si="473">SUM(X834:AA834)</f>
        <v>3400</v>
      </c>
      <c r="X834" s="12"/>
      <c r="Y834" s="12">
        <v>3400</v>
      </c>
      <c r="Z834" s="12"/>
      <c r="AA834" s="12"/>
      <c r="AB834" s="91" t="s">
        <v>1622</v>
      </c>
      <c r="AC834" s="380">
        <f t="shared" si="455"/>
        <v>0</v>
      </c>
      <c r="AJ834" s="8" t="s">
        <v>685</v>
      </c>
    </row>
    <row r="835" spans="1:36" s="8" customFormat="1" ht="56.25" customHeight="1">
      <c r="A835" s="430" t="s">
        <v>144</v>
      </c>
      <c r="B835" s="15" t="s">
        <v>1001</v>
      </c>
      <c r="C835" s="15" t="s">
        <v>738</v>
      </c>
      <c r="D835" s="20">
        <v>7943924</v>
      </c>
      <c r="E835" s="20"/>
      <c r="F835" s="20" t="s">
        <v>994</v>
      </c>
      <c r="G835" s="13" t="s">
        <v>1002</v>
      </c>
      <c r="H835" s="20" t="s">
        <v>370</v>
      </c>
      <c r="I835" s="20" t="s">
        <v>1003</v>
      </c>
      <c r="J835" s="12">
        <v>11300</v>
      </c>
      <c r="K835" s="12"/>
      <c r="L835" s="12"/>
      <c r="M835" s="12">
        <v>11300</v>
      </c>
      <c r="N835" s="12">
        <v>5171</v>
      </c>
      <c r="O835" s="12"/>
      <c r="P835" s="12"/>
      <c r="Q835" s="12">
        <v>5171</v>
      </c>
      <c r="R835" s="12">
        <v>5171</v>
      </c>
      <c r="S835" s="12"/>
      <c r="T835" s="12"/>
      <c r="U835" s="12">
        <v>5171</v>
      </c>
      <c r="V835" s="43">
        <v>6129</v>
      </c>
      <c r="W835" s="12">
        <f t="shared" si="473"/>
        <v>6129</v>
      </c>
      <c r="X835" s="12"/>
      <c r="Y835" s="12">
        <v>6129</v>
      </c>
      <c r="Z835" s="12"/>
      <c r="AA835" s="12"/>
      <c r="AB835" s="91" t="s">
        <v>1622</v>
      </c>
      <c r="AC835" s="380">
        <f t="shared" si="455"/>
        <v>0</v>
      </c>
      <c r="AJ835" s="8" t="s">
        <v>685</v>
      </c>
    </row>
    <row r="836" spans="1:36" s="8" customFormat="1" ht="74.25" customHeight="1">
      <c r="A836" s="430" t="s">
        <v>144</v>
      </c>
      <c r="B836" s="15" t="s">
        <v>1004</v>
      </c>
      <c r="C836" s="15" t="s">
        <v>738</v>
      </c>
      <c r="D836" s="20">
        <v>8102996</v>
      </c>
      <c r="E836" s="20"/>
      <c r="F836" s="20" t="s">
        <v>994</v>
      </c>
      <c r="G836" s="13" t="s">
        <v>1005</v>
      </c>
      <c r="H836" s="20" t="s">
        <v>41</v>
      </c>
      <c r="I836" s="20" t="s">
        <v>1006</v>
      </c>
      <c r="J836" s="12">
        <v>70603</v>
      </c>
      <c r="K836" s="12"/>
      <c r="L836" s="12"/>
      <c r="M836" s="12">
        <v>70603</v>
      </c>
      <c r="N836" s="12">
        <v>0</v>
      </c>
      <c r="O836" s="12"/>
      <c r="P836" s="12"/>
      <c r="Q836" s="12">
        <v>0</v>
      </c>
      <c r="R836" s="12">
        <v>35000</v>
      </c>
      <c r="S836" s="12"/>
      <c r="T836" s="12"/>
      <c r="U836" s="12">
        <v>35000</v>
      </c>
      <c r="V836" s="12">
        <v>35603</v>
      </c>
      <c r="W836" s="12">
        <f t="shared" si="473"/>
        <v>5000</v>
      </c>
      <c r="X836" s="12"/>
      <c r="Y836" s="12">
        <v>5000</v>
      </c>
      <c r="Z836" s="12"/>
      <c r="AA836" s="12"/>
      <c r="AB836" s="91" t="s">
        <v>1622</v>
      </c>
      <c r="AC836" s="380">
        <f t="shared" si="455"/>
        <v>0</v>
      </c>
      <c r="AJ836" s="8" t="s">
        <v>685</v>
      </c>
    </row>
    <row r="837" spans="1:36" s="8" customFormat="1" ht="79.5" customHeight="1">
      <c r="A837" s="430" t="s">
        <v>144</v>
      </c>
      <c r="B837" s="15" t="s">
        <v>1007</v>
      </c>
      <c r="C837" s="15" t="s">
        <v>738</v>
      </c>
      <c r="D837" s="20">
        <v>8156912</v>
      </c>
      <c r="E837" s="20"/>
      <c r="F837" s="20" t="s">
        <v>1008</v>
      </c>
      <c r="G837" s="13" t="s">
        <v>1009</v>
      </c>
      <c r="H837" s="20" t="s">
        <v>41</v>
      </c>
      <c r="I837" s="20" t="s">
        <v>1010</v>
      </c>
      <c r="J837" s="12">
        <v>164420</v>
      </c>
      <c r="K837" s="12"/>
      <c r="L837" s="12"/>
      <c r="M837" s="12">
        <v>164420</v>
      </c>
      <c r="N837" s="12">
        <v>0</v>
      </c>
      <c r="O837" s="12"/>
      <c r="P837" s="12"/>
      <c r="Q837" s="12"/>
      <c r="R837" s="12">
        <v>40000</v>
      </c>
      <c r="S837" s="12"/>
      <c r="T837" s="12"/>
      <c r="U837" s="12">
        <v>40000</v>
      </c>
      <c r="V837" s="43">
        <v>124420</v>
      </c>
      <c r="W837" s="12">
        <f t="shared" si="473"/>
        <v>50000</v>
      </c>
      <c r="X837" s="12"/>
      <c r="Y837" s="12">
        <v>50000</v>
      </c>
      <c r="Z837" s="12"/>
      <c r="AA837" s="12"/>
      <c r="AB837" s="91" t="s">
        <v>1622</v>
      </c>
      <c r="AC837" s="380">
        <f t="shared" si="455"/>
        <v>0</v>
      </c>
      <c r="AJ837" s="8" t="s">
        <v>685</v>
      </c>
    </row>
    <row r="838" spans="1:36" s="8" customFormat="1" ht="60.75" customHeight="1">
      <c r="A838" s="430" t="s">
        <v>144</v>
      </c>
      <c r="B838" s="15" t="s">
        <v>1011</v>
      </c>
      <c r="C838" s="15" t="s">
        <v>738</v>
      </c>
      <c r="D838" s="20">
        <v>8036014</v>
      </c>
      <c r="E838" s="20"/>
      <c r="F838" s="20" t="s">
        <v>740</v>
      </c>
      <c r="G838" s="13" t="s">
        <v>1012</v>
      </c>
      <c r="H838" s="20" t="s">
        <v>41</v>
      </c>
      <c r="I838" s="20" t="s">
        <v>1013</v>
      </c>
      <c r="J838" s="12">
        <v>7900</v>
      </c>
      <c r="K838" s="12"/>
      <c r="L838" s="12"/>
      <c r="M838" s="12">
        <v>7900</v>
      </c>
      <c r="N838" s="12">
        <v>6002</v>
      </c>
      <c r="O838" s="12"/>
      <c r="P838" s="12"/>
      <c r="Q838" s="12">
        <v>6002</v>
      </c>
      <c r="R838" s="12">
        <v>6002</v>
      </c>
      <c r="S838" s="12"/>
      <c r="T838" s="12"/>
      <c r="U838" s="12">
        <v>6002</v>
      </c>
      <c r="V838" s="43">
        <v>1898</v>
      </c>
      <c r="W838" s="12">
        <f t="shared" si="473"/>
        <v>1898</v>
      </c>
      <c r="X838" s="12"/>
      <c r="Y838" s="12">
        <v>1898</v>
      </c>
      <c r="Z838" s="12"/>
      <c r="AA838" s="12"/>
      <c r="AB838" s="91" t="s">
        <v>1622</v>
      </c>
      <c r="AC838" s="380">
        <f t="shared" si="455"/>
        <v>0</v>
      </c>
      <c r="AJ838" s="8" t="s">
        <v>685</v>
      </c>
    </row>
    <row r="839" spans="1:36" s="8" customFormat="1" ht="59.25" customHeight="1">
      <c r="A839" s="430" t="s">
        <v>144</v>
      </c>
      <c r="B839" s="15" t="s">
        <v>1014</v>
      </c>
      <c r="C839" s="15" t="s">
        <v>738</v>
      </c>
      <c r="D839" s="20">
        <v>7943916</v>
      </c>
      <c r="E839" s="20"/>
      <c r="F839" s="20" t="s">
        <v>994</v>
      </c>
      <c r="G839" s="13" t="s">
        <v>1015</v>
      </c>
      <c r="H839" s="20" t="s">
        <v>370</v>
      </c>
      <c r="I839" s="20" t="s">
        <v>1016</v>
      </c>
      <c r="J839" s="12">
        <v>7100</v>
      </c>
      <c r="K839" s="12"/>
      <c r="L839" s="12"/>
      <c r="M839" s="12">
        <v>7100</v>
      </c>
      <c r="N839" s="12">
        <v>6500</v>
      </c>
      <c r="O839" s="12"/>
      <c r="P839" s="12"/>
      <c r="Q839" s="12">
        <v>6500</v>
      </c>
      <c r="R839" s="12">
        <v>6500</v>
      </c>
      <c r="S839" s="12"/>
      <c r="T839" s="12"/>
      <c r="U839" s="12">
        <v>6500</v>
      </c>
      <c r="V839" s="43">
        <v>600</v>
      </c>
      <c r="W839" s="12">
        <f t="shared" si="473"/>
        <v>600</v>
      </c>
      <c r="X839" s="12"/>
      <c r="Y839" s="12">
        <v>600</v>
      </c>
      <c r="Z839" s="12"/>
      <c r="AA839" s="12"/>
      <c r="AB839" s="91" t="s">
        <v>1622</v>
      </c>
      <c r="AC839" s="380">
        <f t="shared" si="455"/>
        <v>0</v>
      </c>
      <c r="AJ839" s="8" t="s">
        <v>685</v>
      </c>
    </row>
    <row r="840" spans="1:36" s="8" customFormat="1" ht="59.25" customHeight="1">
      <c r="A840" s="430" t="s">
        <v>144</v>
      </c>
      <c r="B840" s="15" t="s">
        <v>1017</v>
      </c>
      <c r="C840" s="15" t="s">
        <v>738</v>
      </c>
      <c r="D840" s="20">
        <v>8036239</v>
      </c>
      <c r="E840" s="20"/>
      <c r="F840" s="20" t="s">
        <v>1018</v>
      </c>
      <c r="G840" s="13" t="s">
        <v>1019</v>
      </c>
      <c r="H840" s="20" t="s">
        <v>41</v>
      </c>
      <c r="I840" s="20" t="s">
        <v>1020</v>
      </c>
      <c r="J840" s="12">
        <v>5200</v>
      </c>
      <c r="K840" s="12"/>
      <c r="L840" s="12"/>
      <c r="M840" s="12">
        <v>5200</v>
      </c>
      <c r="N840" s="12">
        <v>3990</v>
      </c>
      <c r="O840" s="12"/>
      <c r="P840" s="12"/>
      <c r="Q840" s="12">
        <v>3990</v>
      </c>
      <c r="R840" s="12">
        <v>3990</v>
      </c>
      <c r="S840" s="12"/>
      <c r="T840" s="12"/>
      <c r="U840" s="12">
        <v>3990</v>
      </c>
      <c r="V840" s="399">
        <f>2006-799</f>
        <v>1207</v>
      </c>
      <c r="W840" s="12">
        <f t="shared" si="473"/>
        <v>1207</v>
      </c>
      <c r="X840" s="12"/>
      <c r="Y840" s="12">
        <v>1207</v>
      </c>
      <c r="Z840" s="12"/>
      <c r="AA840" s="12"/>
      <c r="AB840" s="91" t="s">
        <v>1622</v>
      </c>
      <c r="AC840" s="380">
        <f t="shared" si="455"/>
        <v>0</v>
      </c>
      <c r="AJ840" s="8" t="s">
        <v>685</v>
      </c>
    </row>
    <row r="841" spans="1:36" s="8" customFormat="1" ht="105.75" customHeight="1">
      <c r="A841" s="430" t="s">
        <v>144</v>
      </c>
      <c r="B841" s="15" t="s">
        <v>1021</v>
      </c>
      <c r="C841" s="15" t="s">
        <v>738</v>
      </c>
      <c r="D841" s="20">
        <v>8144961</v>
      </c>
      <c r="E841" s="20"/>
      <c r="F841" s="20" t="s">
        <v>1008</v>
      </c>
      <c r="G841" s="13" t="s">
        <v>1022</v>
      </c>
      <c r="H841" s="20" t="s">
        <v>244</v>
      </c>
      <c r="I841" s="20" t="s">
        <v>1023</v>
      </c>
      <c r="J841" s="12">
        <v>3800</v>
      </c>
      <c r="K841" s="12"/>
      <c r="L841" s="12"/>
      <c r="M841" s="12">
        <v>3800</v>
      </c>
      <c r="N841" s="12">
        <v>1135</v>
      </c>
      <c r="O841" s="12"/>
      <c r="P841" s="12"/>
      <c r="Q841" s="12">
        <v>1135</v>
      </c>
      <c r="R841" s="12">
        <v>1135</v>
      </c>
      <c r="S841" s="12"/>
      <c r="T841" s="12"/>
      <c r="U841" s="12">
        <v>1135</v>
      </c>
      <c r="V841" s="43">
        <v>1800</v>
      </c>
      <c r="W841" s="12">
        <f t="shared" si="473"/>
        <v>1600</v>
      </c>
      <c r="X841" s="12"/>
      <c r="Y841" s="12">
        <v>1600</v>
      </c>
      <c r="Z841" s="12"/>
      <c r="AA841" s="12"/>
      <c r="AB841" s="91" t="s">
        <v>1639</v>
      </c>
      <c r="AC841" s="380">
        <f t="shared" si="455"/>
        <v>0</v>
      </c>
      <c r="AJ841" s="8" t="s">
        <v>685</v>
      </c>
    </row>
    <row r="842" spans="1:36" s="10" customFormat="1" ht="31.5" customHeight="1">
      <c r="A842" s="398" t="s">
        <v>1306</v>
      </c>
      <c r="B842" s="413" t="s">
        <v>1307</v>
      </c>
      <c r="C842" s="15" t="s">
        <v>738</v>
      </c>
      <c r="D842" s="473"/>
      <c r="E842" s="473"/>
      <c r="F842" s="473"/>
      <c r="G842" s="328"/>
      <c r="H842" s="473"/>
      <c r="I842" s="473"/>
      <c r="J842" s="436"/>
      <c r="K842" s="436"/>
      <c r="L842" s="436"/>
      <c r="M842" s="436"/>
      <c r="N842" s="436"/>
      <c r="O842" s="436"/>
      <c r="P842" s="436"/>
      <c r="Q842" s="436"/>
      <c r="R842" s="436"/>
      <c r="S842" s="436"/>
      <c r="T842" s="436"/>
      <c r="U842" s="436"/>
      <c r="V842" s="436"/>
      <c r="W842" s="436"/>
      <c r="X842" s="436"/>
      <c r="Y842" s="436"/>
      <c r="Z842" s="436"/>
      <c r="AA842" s="436"/>
      <c r="AB842" s="437"/>
      <c r="AC842" s="380">
        <f t="shared" si="455"/>
        <v>0</v>
      </c>
    </row>
    <row r="843" spans="1:36" s="231" customFormat="1" ht="36" customHeight="1">
      <c r="A843" s="426" t="s">
        <v>1358</v>
      </c>
      <c r="B843" s="317" t="s">
        <v>1024</v>
      </c>
      <c r="C843" s="317" t="s">
        <v>1024</v>
      </c>
      <c r="D843" s="306"/>
      <c r="E843" s="306"/>
      <c r="F843" s="306"/>
      <c r="G843" s="320"/>
      <c r="H843" s="306"/>
      <c r="I843" s="306"/>
      <c r="J843" s="14">
        <f t="shared" ref="J843:AA843" si="474">+J844</f>
        <v>226700</v>
      </c>
      <c r="K843" s="14">
        <f t="shared" si="474"/>
        <v>0</v>
      </c>
      <c r="L843" s="14">
        <f t="shared" si="474"/>
        <v>0</v>
      </c>
      <c r="M843" s="14">
        <f t="shared" si="474"/>
        <v>226700</v>
      </c>
      <c r="N843" s="14">
        <f t="shared" si="474"/>
        <v>51571</v>
      </c>
      <c r="O843" s="14">
        <f t="shared" si="474"/>
        <v>0</v>
      </c>
      <c r="P843" s="14">
        <f t="shared" si="474"/>
        <v>0</v>
      </c>
      <c r="Q843" s="14">
        <f t="shared" si="474"/>
        <v>51571</v>
      </c>
      <c r="R843" s="14">
        <f t="shared" si="474"/>
        <v>96571</v>
      </c>
      <c r="S843" s="14">
        <f t="shared" si="474"/>
        <v>0</v>
      </c>
      <c r="T843" s="14">
        <f t="shared" si="474"/>
        <v>0</v>
      </c>
      <c r="U843" s="14">
        <f t="shared" si="474"/>
        <v>96571</v>
      </c>
      <c r="V843" s="14">
        <f t="shared" si="474"/>
        <v>126885</v>
      </c>
      <c r="W843" s="14">
        <f t="shared" si="474"/>
        <v>46885</v>
      </c>
      <c r="X843" s="14">
        <f t="shared" si="474"/>
        <v>0</v>
      </c>
      <c r="Y843" s="14">
        <f t="shared" si="474"/>
        <v>46830</v>
      </c>
      <c r="Z843" s="14">
        <f t="shared" si="474"/>
        <v>55</v>
      </c>
      <c r="AA843" s="14">
        <f t="shared" si="474"/>
        <v>0</v>
      </c>
      <c r="AB843" s="102"/>
      <c r="AC843" s="380">
        <f t="shared" si="455"/>
        <v>0</v>
      </c>
    </row>
    <row r="844" spans="1:36" s="10" customFormat="1" ht="22.5" customHeight="1">
      <c r="A844" s="495" t="s">
        <v>1359</v>
      </c>
      <c r="B844" s="394" t="s">
        <v>38</v>
      </c>
      <c r="C844" s="15" t="s">
        <v>1024</v>
      </c>
      <c r="D844" s="473"/>
      <c r="E844" s="473"/>
      <c r="F844" s="473"/>
      <c r="G844" s="328"/>
      <c r="H844" s="473"/>
      <c r="I844" s="473"/>
      <c r="J844" s="453">
        <f>+J845+J851+J855</f>
        <v>226700</v>
      </c>
      <c r="K844" s="453">
        <f t="shared" ref="K844:AA844" si="475">+K845+K851+K855</f>
        <v>0</v>
      </c>
      <c r="L844" s="453">
        <f t="shared" si="475"/>
        <v>0</v>
      </c>
      <c r="M844" s="453">
        <f t="shared" si="475"/>
        <v>226700</v>
      </c>
      <c r="N844" s="453">
        <f t="shared" si="475"/>
        <v>51571</v>
      </c>
      <c r="O844" s="453">
        <f t="shared" si="475"/>
        <v>0</v>
      </c>
      <c r="P844" s="453">
        <f t="shared" si="475"/>
        <v>0</v>
      </c>
      <c r="Q844" s="453">
        <f t="shared" si="475"/>
        <v>51571</v>
      </c>
      <c r="R844" s="453">
        <f t="shared" si="475"/>
        <v>96571</v>
      </c>
      <c r="S844" s="453">
        <f t="shared" si="475"/>
        <v>0</v>
      </c>
      <c r="T844" s="453">
        <f t="shared" si="475"/>
        <v>0</v>
      </c>
      <c r="U844" s="453">
        <f t="shared" si="475"/>
        <v>96571</v>
      </c>
      <c r="V844" s="453">
        <f t="shared" si="475"/>
        <v>126885</v>
      </c>
      <c r="W844" s="453">
        <f t="shared" si="475"/>
        <v>46885</v>
      </c>
      <c r="X844" s="453">
        <f t="shared" si="475"/>
        <v>0</v>
      </c>
      <c r="Y844" s="453">
        <f t="shared" si="475"/>
        <v>46830</v>
      </c>
      <c r="Z844" s="453">
        <f t="shared" si="475"/>
        <v>55</v>
      </c>
      <c r="AA844" s="453">
        <f t="shared" si="475"/>
        <v>0</v>
      </c>
      <c r="AB844" s="454"/>
      <c r="AC844" s="380">
        <f t="shared" si="455"/>
        <v>0</v>
      </c>
    </row>
    <row r="845" spans="1:36" s="10" customFormat="1" ht="39.75" customHeight="1">
      <c r="A845" s="332" t="s">
        <v>39</v>
      </c>
      <c r="B845" s="326" t="s">
        <v>1254</v>
      </c>
      <c r="C845" s="15" t="s">
        <v>1024</v>
      </c>
      <c r="D845" s="554"/>
      <c r="E845" s="332"/>
      <c r="F845" s="471"/>
      <c r="G845" s="471"/>
      <c r="H845" s="332"/>
      <c r="I845" s="471"/>
      <c r="J845" s="331">
        <f t="shared" ref="J845:AA845" si="476">+SUM(J846:J850)</f>
        <v>45250</v>
      </c>
      <c r="K845" s="331">
        <f t="shared" si="476"/>
        <v>0</v>
      </c>
      <c r="L845" s="331">
        <f t="shared" si="476"/>
        <v>0</v>
      </c>
      <c r="M845" s="331">
        <f t="shared" si="476"/>
        <v>45250</v>
      </c>
      <c r="N845" s="331">
        <f t="shared" si="476"/>
        <v>41951</v>
      </c>
      <c r="O845" s="331">
        <f t="shared" si="476"/>
        <v>0</v>
      </c>
      <c r="P845" s="331">
        <f t="shared" si="476"/>
        <v>0</v>
      </c>
      <c r="Q845" s="331">
        <f t="shared" si="476"/>
        <v>41951</v>
      </c>
      <c r="R845" s="331">
        <f t="shared" si="476"/>
        <v>41951</v>
      </c>
      <c r="S845" s="331">
        <f t="shared" si="476"/>
        <v>0</v>
      </c>
      <c r="T845" s="331">
        <f t="shared" si="476"/>
        <v>0</v>
      </c>
      <c r="U845" s="331">
        <f t="shared" si="476"/>
        <v>41951</v>
      </c>
      <c r="V845" s="331">
        <f t="shared" si="476"/>
        <v>55</v>
      </c>
      <c r="W845" s="331">
        <f>+SUM(W846:W850)</f>
        <v>55</v>
      </c>
      <c r="X845" s="331">
        <f t="shared" si="476"/>
        <v>0</v>
      </c>
      <c r="Y845" s="331">
        <f t="shared" si="476"/>
        <v>0</v>
      </c>
      <c r="Z845" s="331">
        <f t="shared" si="476"/>
        <v>55</v>
      </c>
      <c r="AA845" s="331">
        <f t="shared" si="476"/>
        <v>0</v>
      </c>
      <c r="AB845" s="332"/>
      <c r="AC845" s="380">
        <f t="shared" si="455"/>
        <v>0</v>
      </c>
    </row>
    <row r="846" spans="1:36" s="231" customFormat="1" ht="46.5" customHeight="1">
      <c r="A846" s="426" t="s">
        <v>144</v>
      </c>
      <c r="B846" s="42" t="s">
        <v>1255</v>
      </c>
      <c r="C846" s="15" t="s">
        <v>1024</v>
      </c>
      <c r="D846" s="306"/>
      <c r="E846" s="306"/>
      <c r="F846" s="306"/>
      <c r="G846" s="320"/>
      <c r="H846" s="306"/>
      <c r="I846" s="13" t="s">
        <v>1260</v>
      </c>
      <c r="J846" s="19">
        <v>12650</v>
      </c>
      <c r="K846" s="14"/>
      <c r="L846" s="14"/>
      <c r="M846" s="19">
        <v>12650</v>
      </c>
      <c r="N846" s="19">
        <v>11317</v>
      </c>
      <c r="O846" s="14"/>
      <c r="P846" s="14"/>
      <c r="Q846" s="19">
        <v>11317</v>
      </c>
      <c r="R846" s="19">
        <v>11317</v>
      </c>
      <c r="S846" s="14"/>
      <c r="T846" s="14"/>
      <c r="U846" s="19">
        <v>11317</v>
      </c>
      <c r="V846" s="33">
        <v>16</v>
      </c>
      <c r="W846" s="33">
        <f>SUM(X846:AA846)</f>
        <v>16</v>
      </c>
      <c r="X846" s="33"/>
      <c r="Y846" s="33"/>
      <c r="Z846" s="33">
        <v>16</v>
      </c>
      <c r="AA846" s="33"/>
      <c r="AB846" s="91" t="s">
        <v>1308</v>
      </c>
      <c r="AC846" s="380">
        <f t="shared" si="455"/>
        <v>0</v>
      </c>
      <c r="AJ846" s="555" t="s">
        <v>1308</v>
      </c>
    </row>
    <row r="847" spans="1:36" s="231" customFormat="1" ht="46.5" customHeight="1">
      <c r="A847" s="426" t="s">
        <v>144</v>
      </c>
      <c r="B847" s="42" t="s">
        <v>1256</v>
      </c>
      <c r="C847" s="15" t="s">
        <v>1024</v>
      </c>
      <c r="D847" s="306"/>
      <c r="E847" s="306"/>
      <c r="F847" s="306"/>
      <c r="G847" s="320"/>
      <c r="H847" s="306"/>
      <c r="I847" s="13" t="s">
        <v>1261</v>
      </c>
      <c r="J847" s="19">
        <v>14500</v>
      </c>
      <c r="K847" s="14"/>
      <c r="L847" s="14"/>
      <c r="M847" s="19">
        <v>14500</v>
      </c>
      <c r="N847" s="19">
        <v>13963</v>
      </c>
      <c r="O847" s="14"/>
      <c r="P847" s="14"/>
      <c r="Q847" s="19">
        <v>13963</v>
      </c>
      <c r="R847" s="19">
        <v>13963</v>
      </c>
      <c r="S847" s="14"/>
      <c r="T847" s="14"/>
      <c r="U847" s="19">
        <v>13963</v>
      </c>
      <c r="V847" s="33">
        <v>2</v>
      </c>
      <c r="W847" s="33">
        <f t="shared" ref="W847:W850" si="477">SUM(X847:AA847)</f>
        <v>2</v>
      </c>
      <c r="X847" s="33"/>
      <c r="Y847" s="33"/>
      <c r="Z847" s="33">
        <v>2</v>
      </c>
      <c r="AA847" s="33"/>
      <c r="AB847" s="91" t="s">
        <v>1308</v>
      </c>
      <c r="AC847" s="380">
        <f t="shared" si="455"/>
        <v>0</v>
      </c>
      <c r="AJ847" s="555" t="s">
        <v>1308</v>
      </c>
    </row>
    <row r="848" spans="1:36" s="231" customFormat="1" ht="46.5" customHeight="1">
      <c r="A848" s="426" t="s">
        <v>144</v>
      </c>
      <c r="B848" s="42" t="s">
        <v>1257</v>
      </c>
      <c r="C848" s="15" t="s">
        <v>1024</v>
      </c>
      <c r="D848" s="306"/>
      <c r="E848" s="306"/>
      <c r="F848" s="306"/>
      <c r="G848" s="320"/>
      <c r="H848" s="306"/>
      <c r="I848" s="13" t="s">
        <v>1262</v>
      </c>
      <c r="J848" s="19">
        <v>6850</v>
      </c>
      <c r="K848" s="14"/>
      <c r="L848" s="14"/>
      <c r="M848" s="19">
        <v>6850</v>
      </c>
      <c r="N848" s="19">
        <v>6417</v>
      </c>
      <c r="O848" s="14"/>
      <c r="P848" s="14"/>
      <c r="Q848" s="19">
        <v>6417</v>
      </c>
      <c r="R848" s="19">
        <v>6417</v>
      </c>
      <c r="S848" s="14"/>
      <c r="T848" s="14"/>
      <c r="U848" s="19">
        <v>6417</v>
      </c>
      <c r="V848" s="33">
        <v>21</v>
      </c>
      <c r="W848" s="33">
        <f t="shared" si="477"/>
        <v>21</v>
      </c>
      <c r="X848" s="33"/>
      <c r="Y848" s="33"/>
      <c r="Z848" s="33">
        <v>21</v>
      </c>
      <c r="AA848" s="33"/>
      <c r="AB848" s="91" t="s">
        <v>1308</v>
      </c>
      <c r="AC848" s="380">
        <f t="shared" si="455"/>
        <v>0</v>
      </c>
      <c r="AJ848" s="555" t="s">
        <v>1308</v>
      </c>
    </row>
    <row r="849" spans="1:36" s="231" customFormat="1" ht="46.5" customHeight="1">
      <c r="A849" s="426" t="s">
        <v>144</v>
      </c>
      <c r="B849" s="42" t="s">
        <v>1258</v>
      </c>
      <c r="C849" s="15" t="s">
        <v>1024</v>
      </c>
      <c r="D849" s="306"/>
      <c r="E849" s="306"/>
      <c r="F849" s="306"/>
      <c r="G849" s="320"/>
      <c r="H849" s="306"/>
      <c r="I849" s="13" t="s">
        <v>1263</v>
      </c>
      <c r="J849" s="19">
        <v>1250</v>
      </c>
      <c r="K849" s="14"/>
      <c r="L849" s="14"/>
      <c r="M849" s="19">
        <v>1250</v>
      </c>
      <c r="N849" s="19">
        <v>1075</v>
      </c>
      <c r="O849" s="14"/>
      <c r="P849" s="14"/>
      <c r="Q849" s="19">
        <v>1075</v>
      </c>
      <c r="R849" s="19">
        <v>1075</v>
      </c>
      <c r="S849" s="14"/>
      <c r="T849" s="14"/>
      <c r="U849" s="19">
        <v>1075</v>
      </c>
      <c r="V849" s="33">
        <v>2</v>
      </c>
      <c r="W849" s="33">
        <f t="shared" si="477"/>
        <v>2</v>
      </c>
      <c r="X849" s="33"/>
      <c r="Y849" s="33"/>
      <c r="Z849" s="33">
        <v>2</v>
      </c>
      <c r="AA849" s="33"/>
      <c r="AB849" s="91" t="s">
        <v>1308</v>
      </c>
      <c r="AC849" s="380">
        <f t="shared" si="455"/>
        <v>0</v>
      </c>
      <c r="AJ849" s="555" t="s">
        <v>1308</v>
      </c>
    </row>
    <row r="850" spans="1:36" s="231" customFormat="1" ht="46.5" customHeight="1">
      <c r="A850" s="426" t="s">
        <v>144</v>
      </c>
      <c r="B850" s="42" t="s">
        <v>1259</v>
      </c>
      <c r="C850" s="15" t="s">
        <v>1024</v>
      </c>
      <c r="D850" s="306"/>
      <c r="E850" s="306"/>
      <c r="F850" s="306"/>
      <c r="G850" s="320"/>
      <c r="H850" s="306"/>
      <c r="I850" s="13" t="s">
        <v>1264</v>
      </c>
      <c r="J850" s="19">
        <v>10000</v>
      </c>
      <c r="K850" s="14"/>
      <c r="L850" s="14"/>
      <c r="M850" s="19">
        <v>10000</v>
      </c>
      <c r="N850" s="19">
        <v>9179</v>
      </c>
      <c r="O850" s="14"/>
      <c r="P850" s="14"/>
      <c r="Q850" s="19">
        <v>9179</v>
      </c>
      <c r="R850" s="19">
        <v>9179</v>
      </c>
      <c r="S850" s="14"/>
      <c r="T850" s="14"/>
      <c r="U850" s="19">
        <v>9179</v>
      </c>
      <c r="V850" s="33">
        <v>14</v>
      </c>
      <c r="W850" s="33">
        <f t="shared" si="477"/>
        <v>14</v>
      </c>
      <c r="X850" s="33"/>
      <c r="Y850" s="33"/>
      <c r="Z850" s="33">
        <v>14</v>
      </c>
      <c r="AA850" s="33"/>
      <c r="AB850" s="91" t="s">
        <v>1308</v>
      </c>
      <c r="AC850" s="380">
        <f t="shared" si="455"/>
        <v>0</v>
      </c>
      <c r="AJ850" s="555" t="s">
        <v>1308</v>
      </c>
    </row>
    <row r="851" spans="1:36" s="10" customFormat="1" ht="59.25" customHeight="1">
      <c r="A851" s="398" t="s">
        <v>467</v>
      </c>
      <c r="B851" s="326" t="s">
        <v>56</v>
      </c>
      <c r="C851" s="15" t="s">
        <v>1024</v>
      </c>
      <c r="D851" s="473"/>
      <c r="E851" s="473"/>
      <c r="F851" s="473"/>
      <c r="G851" s="328"/>
      <c r="H851" s="473"/>
      <c r="I851" s="473"/>
      <c r="J851" s="436">
        <f t="shared" ref="J851:AA851" si="478">SUM(J852:J854)</f>
        <v>181450</v>
      </c>
      <c r="K851" s="436">
        <f t="shared" si="478"/>
        <v>0</v>
      </c>
      <c r="L851" s="436">
        <f t="shared" si="478"/>
        <v>0</v>
      </c>
      <c r="M851" s="436">
        <f t="shared" si="478"/>
        <v>181450</v>
      </c>
      <c r="N851" s="436">
        <f t="shared" si="478"/>
        <v>9620</v>
      </c>
      <c r="O851" s="436">
        <f t="shared" si="478"/>
        <v>0</v>
      </c>
      <c r="P851" s="436">
        <f t="shared" si="478"/>
        <v>0</v>
      </c>
      <c r="Q851" s="436">
        <f t="shared" si="478"/>
        <v>9620</v>
      </c>
      <c r="R851" s="436">
        <f t="shared" si="478"/>
        <v>54620</v>
      </c>
      <c r="S851" s="436">
        <f t="shared" si="478"/>
        <v>0</v>
      </c>
      <c r="T851" s="436">
        <f t="shared" si="478"/>
        <v>0</v>
      </c>
      <c r="U851" s="436">
        <f t="shared" si="478"/>
        <v>54620</v>
      </c>
      <c r="V851" s="436">
        <f t="shared" si="478"/>
        <v>126830</v>
      </c>
      <c r="W851" s="436">
        <f>SUM(W852:W854)</f>
        <v>46830</v>
      </c>
      <c r="X851" s="436">
        <f t="shared" si="478"/>
        <v>0</v>
      </c>
      <c r="Y851" s="436">
        <f t="shared" si="478"/>
        <v>46830</v>
      </c>
      <c r="Z851" s="436">
        <f t="shared" si="478"/>
        <v>0</v>
      </c>
      <c r="AA851" s="436">
        <f t="shared" si="478"/>
        <v>0</v>
      </c>
      <c r="AB851" s="437"/>
      <c r="AC851" s="380">
        <f t="shared" si="455"/>
        <v>0</v>
      </c>
    </row>
    <row r="852" spans="1:36" s="8" customFormat="1" ht="41.25" customHeight="1">
      <c r="A852" s="430" t="s">
        <v>144</v>
      </c>
      <c r="B852" s="15" t="s">
        <v>1025</v>
      </c>
      <c r="C852" s="15" t="s">
        <v>1024</v>
      </c>
      <c r="D852" s="20">
        <v>8090186</v>
      </c>
      <c r="E852" s="20"/>
      <c r="F852" s="20" t="s">
        <v>1026</v>
      </c>
      <c r="G852" s="13" t="s">
        <v>1027</v>
      </c>
      <c r="H852" s="20" t="s">
        <v>136</v>
      </c>
      <c r="I852" s="20" t="s">
        <v>1028</v>
      </c>
      <c r="J852" s="12">
        <v>160000</v>
      </c>
      <c r="K852" s="12"/>
      <c r="L852" s="12"/>
      <c r="M852" s="12">
        <v>160000</v>
      </c>
      <c r="N852" s="12"/>
      <c r="O852" s="12"/>
      <c r="P852" s="12"/>
      <c r="Q852" s="12"/>
      <c r="R852" s="12">
        <v>45000</v>
      </c>
      <c r="S852" s="12"/>
      <c r="T852" s="12"/>
      <c r="U852" s="12">
        <v>45000</v>
      </c>
      <c r="V852" s="730">
        <v>115000</v>
      </c>
      <c r="W852" s="12">
        <f>SUM(X852:AA852)</f>
        <v>35000</v>
      </c>
      <c r="X852" s="12"/>
      <c r="Y852" s="12">
        <v>35000</v>
      </c>
      <c r="Z852" s="12"/>
      <c r="AA852" s="12"/>
      <c r="AB852" s="91" t="s">
        <v>1639</v>
      </c>
      <c r="AC852" s="380">
        <f t="shared" si="455"/>
        <v>0</v>
      </c>
      <c r="AJ852" s="8" t="s">
        <v>685</v>
      </c>
    </row>
    <row r="853" spans="1:36" s="8" customFormat="1" ht="53.25" customHeight="1">
      <c r="A853" s="430" t="s">
        <v>144</v>
      </c>
      <c r="B853" s="15" t="s">
        <v>1029</v>
      </c>
      <c r="C853" s="15" t="s">
        <v>1024</v>
      </c>
      <c r="D853" s="20">
        <v>8083148</v>
      </c>
      <c r="E853" s="20"/>
      <c r="F853" s="20" t="s">
        <v>1026</v>
      </c>
      <c r="G853" s="13" t="s">
        <v>186</v>
      </c>
      <c r="H853" s="20" t="s">
        <v>49</v>
      </c>
      <c r="I853" s="20" t="s">
        <v>1030</v>
      </c>
      <c r="J853" s="12">
        <v>6500</v>
      </c>
      <c r="K853" s="12"/>
      <c r="L853" s="12"/>
      <c r="M853" s="12">
        <v>6500</v>
      </c>
      <c r="N853" s="12">
        <v>4380</v>
      </c>
      <c r="O853" s="12"/>
      <c r="P853" s="12"/>
      <c r="Q853" s="12">
        <v>4380</v>
      </c>
      <c r="R853" s="12">
        <v>4380</v>
      </c>
      <c r="S853" s="12"/>
      <c r="T853" s="12"/>
      <c r="U853" s="12">
        <v>4380</v>
      </c>
      <c r="V853" s="730">
        <v>2120</v>
      </c>
      <c r="W853" s="12">
        <f t="shared" ref="W853:W854" si="479">SUM(X853:AA853)</f>
        <v>2120</v>
      </c>
      <c r="X853" s="12"/>
      <c r="Y853" s="12">
        <v>2120</v>
      </c>
      <c r="Z853" s="12"/>
      <c r="AA853" s="12"/>
      <c r="AB853" s="91" t="s">
        <v>1622</v>
      </c>
      <c r="AC853" s="380">
        <f t="shared" si="455"/>
        <v>0</v>
      </c>
      <c r="AJ853" s="8" t="s">
        <v>685</v>
      </c>
    </row>
    <row r="854" spans="1:36" s="8" customFormat="1" ht="41.25" customHeight="1">
      <c r="A854" s="430" t="s">
        <v>144</v>
      </c>
      <c r="B854" s="15" t="s">
        <v>1031</v>
      </c>
      <c r="C854" s="15" t="s">
        <v>1024</v>
      </c>
      <c r="D854" s="20">
        <v>7962407</v>
      </c>
      <c r="E854" s="20"/>
      <c r="F854" s="20" t="s">
        <v>1026</v>
      </c>
      <c r="G854" s="13" t="s">
        <v>186</v>
      </c>
      <c r="H854" s="20" t="s">
        <v>996</v>
      </c>
      <c r="I854" s="20" t="s">
        <v>1032</v>
      </c>
      <c r="J854" s="12">
        <v>14950</v>
      </c>
      <c r="K854" s="12"/>
      <c r="L854" s="12"/>
      <c r="M854" s="12">
        <v>14950</v>
      </c>
      <c r="N854" s="12">
        <v>5240</v>
      </c>
      <c r="O854" s="12"/>
      <c r="P854" s="12"/>
      <c r="Q854" s="12">
        <v>5240</v>
      </c>
      <c r="R854" s="12">
        <v>5240</v>
      </c>
      <c r="S854" s="12"/>
      <c r="T854" s="12"/>
      <c r="U854" s="12">
        <v>5240</v>
      </c>
      <c r="V854" s="12">
        <v>9710</v>
      </c>
      <c r="W854" s="12">
        <f t="shared" si="479"/>
        <v>9710</v>
      </c>
      <c r="X854" s="12"/>
      <c r="Y854" s="12">
        <f>2120+7590</f>
        <v>9710</v>
      </c>
      <c r="Z854" s="12"/>
      <c r="AA854" s="12"/>
      <c r="AB854" s="91" t="s">
        <v>1622</v>
      </c>
      <c r="AC854" s="380">
        <f t="shared" si="455"/>
        <v>0</v>
      </c>
      <c r="AJ854" s="8" t="s">
        <v>685</v>
      </c>
    </row>
    <row r="855" spans="1:36" s="10" customFormat="1" ht="36" customHeight="1">
      <c r="A855" s="398" t="s">
        <v>1306</v>
      </c>
      <c r="B855" s="326" t="s">
        <v>163</v>
      </c>
      <c r="C855" s="15" t="s">
        <v>1024</v>
      </c>
      <c r="D855" s="473"/>
      <c r="E855" s="473"/>
      <c r="F855" s="473"/>
      <c r="G855" s="328"/>
      <c r="H855" s="473"/>
      <c r="I855" s="473"/>
      <c r="J855" s="436"/>
      <c r="K855" s="436"/>
      <c r="L855" s="436"/>
      <c r="M855" s="436"/>
      <c r="N855" s="436"/>
      <c r="O855" s="436"/>
      <c r="P855" s="436"/>
      <c r="Q855" s="436"/>
      <c r="R855" s="436"/>
      <c r="S855" s="436"/>
      <c r="T855" s="436"/>
      <c r="U855" s="436"/>
      <c r="V855" s="436"/>
      <c r="W855" s="436"/>
      <c r="X855" s="436"/>
      <c r="Y855" s="436"/>
      <c r="Z855" s="436"/>
      <c r="AA855" s="436"/>
      <c r="AB855" s="437"/>
      <c r="AC855" s="380">
        <f t="shared" si="455"/>
        <v>0</v>
      </c>
    </row>
    <row r="856" spans="1:36" s="231" customFormat="1" ht="36" customHeight="1">
      <c r="A856" s="426" t="s">
        <v>1360</v>
      </c>
      <c r="B856" s="317" t="s">
        <v>1265</v>
      </c>
      <c r="C856" s="317" t="s">
        <v>1265</v>
      </c>
      <c r="D856" s="306"/>
      <c r="E856" s="306"/>
      <c r="F856" s="306"/>
      <c r="G856" s="320"/>
      <c r="H856" s="306"/>
      <c r="I856" s="306"/>
      <c r="J856" s="14">
        <f t="shared" ref="J856:V856" si="480">+J857</f>
        <v>35720000</v>
      </c>
      <c r="K856" s="14">
        <f t="shared" si="480"/>
        <v>0</v>
      </c>
      <c r="L856" s="14">
        <f t="shared" si="480"/>
        <v>4500000</v>
      </c>
      <c r="M856" s="14">
        <f t="shared" si="480"/>
        <v>9761000</v>
      </c>
      <c r="N856" s="14">
        <f t="shared" si="480"/>
        <v>0</v>
      </c>
      <c r="O856" s="14">
        <f t="shared" si="480"/>
        <v>0</v>
      </c>
      <c r="P856" s="14">
        <f t="shared" si="480"/>
        <v>0</v>
      </c>
      <c r="Q856" s="14">
        <f t="shared" si="480"/>
        <v>0</v>
      </c>
      <c r="R856" s="14">
        <f t="shared" si="480"/>
        <v>5222269</v>
      </c>
      <c r="S856" s="14">
        <f t="shared" si="480"/>
        <v>0</v>
      </c>
      <c r="T856" s="14">
        <f t="shared" si="480"/>
        <v>3385787</v>
      </c>
      <c r="U856" s="14">
        <f t="shared" si="480"/>
        <v>1836482</v>
      </c>
      <c r="V856" s="14">
        <f t="shared" si="480"/>
        <v>5622055</v>
      </c>
      <c r="W856" s="14">
        <f>W857</f>
        <v>2420832</v>
      </c>
      <c r="X856" s="14">
        <f t="shared" ref="X856:AA856" si="481">X857</f>
        <v>0</v>
      </c>
      <c r="Y856" s="14">
        <f t="shared" si="481"/>
        <v>155414</v>
      </c>
      <c r="Z856" s="14">
        <f t="shared" si="481"/>
        <v>2265418</v>
      </c>
      <c r="AA856" s="14">
        <f t="shared" si="481"/>
        <v>0</v>
      </c>
      <c r="AB856" s="102"/>
      <c r="AC856" s="380">
        <f t="shared" si="455"/>
        <v>0</v>
      </c>
    </row>
    <row r="857" spans="1:36" s="422" customFormat="1" ht="33.75" customHeight="1">
      <c r="A857" s="495" t="s">
        <v>1371</v>
      </c>
      <c r="B857" s="394" t="s">
        <v>38</v>
      </c>
      <c r="C857" s="15" t="s">
        <v>1265</v>
      </c>
      <c r="D857" s="722"/>
      <c r="E857" s="722"/>
      <c r="F857" s="722"/>
      <c r="G857" s="421"/>
      <c r="H857" s="722"/>
      <c r="I857" s="722"/>
      <c r="J857" s="453">
        <f t="shared" ref="J857:AA857" si="482">+J858+J859</f>
        <v>35720000</v>
      </c>
      <c r="K857" s="453">
        <f t="shared" si="482"/>
        <v>0</v>
      </c>
      <c r="L857" s="453">
        <f t="shared" si="482"/>
        <v>4500000</v>
      </c>
      <c r="M857" s="453">
        <f t="shared" si="482"/>
        <v>9761000</v>
      </c>
      <c r="N857" s="453">
        <f t="shared" si="482"/>
        <v>0</v>
      </c>
      <c r="O857" s="453">
        <f t="shared" si="482"/>
        <v>0</v>
      </c>
      <c r="P857" s="453">
        <f t="shared" si="482"/>
        <v>0</v>
      </c>
      <c r="Q857" s="453">
        <f t="shared" si="482"/>
        <v>0</v>
      </c>
      <c r="R857" s="453">
        <f t="shared" si="482"/>
        <v>5222269</v>
      </c>
      <c r="S857" s="453">
        <f t="shared" si="482"/>
        <v>0</v>
      </c>
      <c r="T857" s="453">
        <f t="shared" si="482"/>
        <v>3385787</v>
      </c>
      <c r="U857" s="453">
        <f t="shared" si="482"/>
        <v>1836482</v>
      </c>
      <c r="V857" s="453">
        <f t="shared" si="482"/>
        <v>5622055</v>
      </c>
      <c r="W857" s="453">
        <f t="shared" si="482"/>
        <v>2420832</v>
      </c>
      <c r="X857" s="453">
        <f t="shared" si="482"/>
        <v>0</v>
      </c>
      <c r="Y857" s="453">
        <f t="shared" si="482"/>
        <v>155414</v>
      </c>
      <c r="Z857" s="453">
        <f t="shared" si="482"/>
        <v>2265418</v>
      </c>
      <c r="AA857" s="453">
        <f t="shared" si="482"/>
        <v>0</v>
      </c>
      <c r="AB857" s="454"/>
      <c r="AC857" s="380">
        <f t="shared" si="455"/>
        <v>0</v>
      </c>
    </row>
    <row r="858" spans="1:36" s="10" customFormat="1" ht="39.75" customHeight="1">
      <c r="A858" s="332" t="s">
        <v>39</v>
      </c>
      <c r="B858" s="326" t="s">
        <v>1254</v>
      </c>
      <c r="C858" s="15" t="s">
        <v>1265</v>
      </c>
      <c r="D858" s="554"/>
      <c r="E858" s="332"/>
      <c r="F858" s="471"/>
      <c r="G858" s="471"/>
      <c r="H858" s="332"/>
      <c r="I858" s="471"/>
      <c r="J858" s="331"/>
      <c r="K858" s="331"/>
      <c r="L858" s="331"/>
      <c r="M858" s="331"/>
      <c r="N858" s="331"/>
      <c r="O858" s="331"/>
      <c r="P858" s="331"/>
      <c r="Q858" s="331"/>
      <c r="R858" s="331"/>
      <c r="S858" s="331"/>
      <c r="T858" s="331"/>
      <c r="U858" s="331"/>
      <c r="V858" s="331"/>
      <c r="W858" s="331"/>
      <c r="X858" s="331"/>
      <c r="Y858" s="331"/>
      <c r="Z858" s="331"/>
      <c r="AA858" s="331"/>
      <c r="AB858" s="332"/>
      <c r="AC858" s="380">
        <f t="shared" ref="AC858:AC921" si="483">+W858-X858-Y858-Z858</f>
        <v>0</v>
      </c>
    </row>
    <row r="859" spans="1:36" s="10" customFormat="1" ht="57.75" customHeight="1">
      <c r="A859" s="398" t="s">
        <v>467</v>
      </c>
      <c r="B859" s="326" t="s">
        <v>56</v>
      </c>
      <c r="C859" s="15" t="s">
        <v>1265</v>
      </c>
      <c r="D859" s="473"/>
      <c r="E859" s="473"/>
      <c r="F859" s="473"/>
      <c r="G859" s="328"/>
      <c r="H859" s="473"/>
      <c r="I859" s="473"/>
      <c r="J859" s="436">
        <f t="shared" ref="J859:AA859" si="484">+J860+J861</f>
        <v>35720000</v>
      </c>
      <c r="K859" s="436">
        <f t="shared" si="484"/>
        <v>0</v>
      </c>
      <c r="L859" s="436">
        <f t="shared" si="484"/>
        <v>4500000</v>
      </c>
      <c r="M859" s="436">
        <f t="shared" si="484"/>
        <v>9761000</v>
      </c>
      <c r="N859" s="436">
        <f t="shared" si="484"/>
        <v>0</v>
      </c>
      <c r="O859" s="436">
        <f t="shared" si="484"/>
        <v>0</v>
      </c>
      <c r="P859" s="436">
        <f t="shared" si="484"/>
        <v>0</v>
      </c>
      <c r="Q859" s="436">
        <f t="shared" si="484"/>
        <v>0</v>
      </c>
      <c r="R859" s="436">
        <f t="shared" si="484"/>
        <v>5222269</v>
      </c>
      <c r="S859" s="436">
        <f t="shared" si="484"/>
        <v>0</v>
      </c>
      <c r="T859" s="436">
        <f t="shared" si="484"/>
        <v>3385787</v>
      </c>
      <c r="U859" s="436">
        <f t="shared" si="484"/>
        <v>1836482</v>
      </c>
      <c r="V859" s="436">
        <f t="shared" si="484"/>
        <v>5622055</v>
      </c>
      <c r="W859" s="436">
        <f>+W860+W861</f>
        <v>2420832</v>
      </c>
      <c r="X859" s="436">
        <f t="shared" si="484"/>
        <v>0</v>
      </c>
      <c r="Y859" s="436">
        <f t="shared" si="484"/>
        <v>155414</v>
      </c>
      <c r="Z859" s="436">
        <f t="shared" si="484"/>
        <v>2265418</v>
      </c>
      <c r="AA859" s="436">
        <f t="shared" si="484"/>
        <v>0</v>
      </c>
      <c r="AB859" s="437"/>
      <c r="AC859" s="380">
        <f t="shared" si="483"/>
        <v>0</v>
      </c>
    </row>
    <row r="860" spans="1:36" s="8" customFormat="1" ht="59.25" customHeight="1">
      <c r="A860" s="627" t="s">
        <v>144</v>
      </c>
      <c r="B860" s="106" t="s">
        <v>67</v>
      </c>
      <c r="C860" s="15" t="s">
        <v>1265</v>
      </c>
      <c r="D860" s="106"/>
      <c r="E860" s="106"/>
      <c r="F860" s="37" t="s">
        <v>68</v>
      </c>
      <c r="G860" s="37" t="s">
        <v>69</v>
      </c>
      <c r="H860" s="13" t="s">
        <v>48</v>
      </c>
      <c r="I860" s="37" t="s">
        <v>70</v>
      </c>
      <c r="J860" s="12">
        <v>18002000</v>
      </c>
      <c r="K860" s="12"/>
      <c r="L860" s="12">
        <v>2000000</v>
      </c>
      <c r="M860" s="12">
        <v>4500000</v>
      </c>
      <c r="N860" s="12"/>
      <c r="O860" s="12"/>
      <c r="P860" s="12"/>
      <c r="Q860" s="12"/>
      <c r="R860" s="12">
        <f>S860+T860+U860</f>
        <v>1583683</v>
      </c>
      <c r="S860" s="12"/>
      <c r="T860" s="12">
        <v>885787</v>
      </c>
      <c r="U860" s="12">
        <v>697896</v>
      </c>
      <c r="V860" s="616">
        <v>3216436</v>
      </c>
      <c r="W860" s="616">
        <f>SUM(X860:AA860)</f>
        <v>265418</v>
      </c>
      <c r="X860" s="616"/>
      <c r="Y860" s="616"/>
      <c r="Z860" s="616">
        <v>265418</v>
      </c>
      <c r="AA860" s="616"/>
      <c r="AB860" s="616" t="s">
        <v>1639</v>
      </c>
      <c r="AC860" s="380">
        <f t="shared" si="483"/>
        <v>0</v>
      </c>
      <c r="AJ860" s="8" t="s">
        <v>685</v>
      </c>
    </row>
    <row r="861" spans="1:36" s="338" customFormat="1" ht="84" customHeight="1">
      <c r="A861" s="627" t="s">
        <v>144</v>
      </c>
      <c r="B861" s="450" t="s">
        <v>1266</v>
      </c>
      <c r="C861" s="15" t="s">
        <v>1265</v>
      </c>
      <c r="D861" s="37"/>
      <c r="E861" s="37"/>
      <c r="F861" s="37"/>
      <c r="G861" s="676" t="s">
        <v>1267</v>
      </c>
      <c r="H861" s="676" t="s">
        <v>48</v>
      </c>
      <c r="I861" s="676" t="s">
        <v>1268</v>
      </c>
      <c r="J861" s="12">
        <v>17718000</v>
      </c>
      <c r="K861" s="91"/>
      <c r="L861" s="12">
        <v>2500000</v>
      </c>
      <c r="M861" s="616">
        <v>5261000</v>
      </c>
      <c r="N861" s="91"/>
      <c r="O861" s="91"/>
      <c r="P861" s="91"/>
      <c r="Q861" s="91"/>
      <c r="R861" s="12">
        <f>+S861+T861+U861</f>
        <v>3638586</v>
      </c>
      <c r="S861" s="91"/>
      <c r="T861" s="12">
        <v>2500000</v>
      </c>
      <c r="U861" s="616">
        <v>1138586</v>
      </c>
      <c r="V861" s="616">
        <v>2405619</v>
      </c>
      <c r="W861" s="616">
        <f>SUM(X861:AA861)</f>
        <v>2155414</v>
      </c>
      <c r="X861" s="616"/>
      <c r="Y861" s="616">
        <v>155414</v>
      </c>
      <c r="Z861" s="616">
        <v>2000000</v>
      </c>
      <c r="AA861" s="616"/>
      <c r="AB861" s="616" t="s">
        <v>1639</v>
      </c>
      <c r="AC861" s="380">
        <f t="shared" si="483"/>
        <v>0</v>
      </c>
      <c r="AJ861" s="338" t="s">
        <v>685</v>
      </c>
    </row>
    <row r="862" spans="1:36" s="231" customFormat="1" ht="36" customHeight="1">
      <c r="A862" s="426" t="s">
        <v>1361</v>
      </c>
      <c r="B862" s="317" t="s">
        <v>1271</v>
      </c>
      <c r="C862" s="317" t="s">
        <v>1271</v>
      </c>
      <c r="D862" s="306"/>
      <c r="E862" s="306"/>
      <c r="F862" s="306"/>
      <c r="G862" s="320"/>
      <c r="H862" s="306"/>
      <c r="I862" s="306"/>
      <c r="J862" s="14">
        <f t="shared" ref="J862:AB862" si="485">+J863</f>
        <v>18002000</v>
      </c>
      <c r="K862" s="14">
        <f t="shared" si="485"/>
        <v>0</v>
      </c>
      <c r="L862" s="14">
        <f t="shared" si="485"/>
        <v>2000000</v>
      </c>
      <c r="M862" s="14">
        <f t="shared" si="485"/>
        <v>4500000</v>
      </c>
      <c r="N862" s="14">
        <f t="shared" si="485"/>
        <v>0</v>
      </c>
      <c r="O862" s="14">
        <f t="shared" si="485"/>
        <v>0</v>
      </c>
      <c r="P862" s="14">
        <f t="shared" si="485"/>
        <v>0</v>
      </c>
      <c r="Q862" s="14">
        <f t="shared" si="485"/>
        <v>0</v>
      </c>
      <c r="R862" s="14">
        <f t="shared" si="485"/>
        <v>335668</v>
      </c>
      <c r="S862" s="14">
        <f t="shared" si="485"/>
        <v>0</v>
      </c>
      <c r="T862" s="14">
        <f t="shared" si="485"/>
        <v>0</v>
      </c>
      <c r="U862" s="14">
        <f t="shared" si="485"/>
        <v>335668</v>
      </c>
      <c r="V862" s="14">
        <f t="shared" si="485"/>
        <v>83917</v>
      </c>
      <c r="W862" s="14">
        <f t="shared" si="485"/>
        <v>83917</v>
      </c>
      <c r="X862" s="14">
        <f t="shared" si="485"/>
        <v>0</v>
      </c>
      <c r="Y862" s="14">
        <f t="shared" si="485"/>
        <v>83917</v>
      </c>
      <c r="Z862" s="14">
        <f t="shared" si="485"/>
        <v>0</v>
      </c>
      <c r="AA862" s="14">
        <f t="shared" si="485"/>
        <v>0</v>
      </c>
      <c r="AB862" s="102">
        <f t="shared" si="485"/>
        <v>0</v>
      </c>
      <c r="AC862" s="380">
        <f t="shared" si="483"/>
        <v>0</v>
      </c>
    </row>
    <row r="863" spans="1:36" s="422" customFormat="1" ht="33.75" customHeight="1">
      <c r="A863" s="495" t="s">
        <v>1362</v>
      </c>
      <c r="B863" s="394" t="s">
        <v>38</v>
      </c>
      <c r="C863" s="15" t="s">
        <v>1271</v>
      </c>
      <c r="D863" s="722"/>
      <c r="E863" s="722"/>
      <c r="F863" s="722"/>
      <c r="G863" s="421"/>
      <c r="H863" s="722"/>
      <c r="I863" s="722"/>
      <c r="J863" s="453">
        <f t="shared" ref="J863:AB863" si="486">J864+J865</f>
        <v>18002000</v>
      </c>
      <c r="K863" s="453">
        <f t="shared" si="486"/>
        <v>0</v>
      </c>
      <c r="L863" s="453">
        <f t="shared" si="486"/>
        <v>2000000</v>
      </c>
      <c r="M863" s="453">
        <f t="shared" si="486"/>
        <v>4500000</v>
      </c>
      <c r="N863" s="453">
        <f t="shared" si="486"/>
        <v>0</v>
      </c>
      <c r="O863" s="453">
        <f t="shared" si="486"/>
        <v>0</v>
      </c>
      <c r="P863" s="453">
        <f t="shared" si="486"/>
        <v>0</v>
      </c>
      <c r="Q863" s="453">
        <f t="shared" si="486"/>
        <v>0</v>
      </c>
      <c r="R863" s="453">
        <f t="shared" si="486"/>
        <v>335668</v>
      </c>
      <c r="S863" s="453">
        <f t="shared" si="486"/>
        <v>0</v>
      </c>
      <c r="T863" s="453">
        <f t="shared" si="486"/>
        <v>0</v>
      </c>
      <c r="U863" s="453">
        <f t="shared" si="486"/>
        <v>335668</v>
      </c>
      <c r="V863" s="453">
        <f t="shared" si="486"/>
        <v>83917</v>
      </c>
      <c r="W863" s="453">
        <f t="shared" si="486"/>
        <v>83917</v>
      </c>
      <c r="X863" s="453">
        <f t="shared" si="486"/>
        <v>0</v>
      </c>
      <c r="Y863" s="453">
        <f t="shared" si="486"/>
        <v>83917</v>
      </c>
      <c r="Z863" s="453">
        <f t="shared" si="486"/>
        <v>0</v>
      </c>
      <c r="AA863" s="453">
        <f t="shared" si="486"/>
        <v>0</v>
      </c>
      <c r="AB863" s="454">
        <f t="shared" si="486"/>
        <v>0</v>
      </c>
      <c r="AC863" s="380">
        <f t="shared" si="483"/>
        <v>0</v>
      </c>
    </row>
    <row r="864" spans="1:36" s="10" customFormat="1" ht="39.75" customHeight="1">
      <c r="A864" s="332" t="s">
        <v>39</v>
      </c>
      <c r="B864" s="326" t="s">
        <v>1254</v>
      </c>
      <c r="C864" s="15" t="s">
        <v>1271</v>
      </c>
      <c r="D864" s="554"/>
      <c r="E864" s="332"/>
      <c r="F864" s="471"/>
      <c r="G864" s="471"/>
      <c r="H864" s="332"/>
      <c r="I864" s="471"/>
      <c r="J864" s="331"/>
      <c r="K864" s="331"/>
      <c r="L864" s="331"/>
      <c r="M864" s="331"/>
      <c r="N864" s="331"/>
      <c r="O864" s="331"/>
      <c r="P864" s="331"/>
      <c r="Q864" s="331"/>
      <c r="R864" s="331"/>
      <c r="S864" s="331"/>
      <c r="T864" s="331"/>
      <c r="U864" s="331"/>
      <c r="V864" s="331"/>
      <c r="W864" s="331"/>
      <c r="X864" s="331"/>
      <c r="Y864" s="331"/>
      <c r="Z864" s="331"/>
      <c r="AA864" s="331"/>
      <c r="AB864" s="332"/>
      <c r="AC864" s="380">
        <f t="shared" si="483"/>
        <v>0</v>
      </c>
    </row>
    <row r="865" spans="1:36" s="10" customFormat="1" ht="45" customHeight="1">
      <c r="A865" s="398" t="s">
        <v>467</v>
      </c>
      <c r="B865" s="326" t="s">
        <v>56</v>
      </c>
      <c r="C865" s="15" t="s">
        <v>1271</v>
      </c>
      <c r="D865" s="473"/>
      <c r="E865" s="473"/>
      <c r="F865" s="473"/>
      <c r="G865" s="328"/>
      <c r="H865" s="473"/>
      <c r="I865" s="473"/>
      <c r="J865" s="436">
        <f t="shared" ref="J865:AA865" si="487">+J866</f>
        <v>18002000</v>
      </c>
      <c r="K865" s="436">
        <f t="shared" si="487"/>
        <v>0</v>
      </c>
      <c r="L865" s="436">
        <f t="shared" si="487"/>
        <v>2000000</v>
      </c>
      <c r="M865" s="436">
        <f t="shared" si="487"/>
        <v>4500000</v>
      </c>
      <c r="N865" s="436">
        <f t="shared" si="487"/>
        <v>0</v>
      </c>
      <c r="O865" s="436">
        <f t="shared" si="487"/>
        <v>0</v>
      </c>
      <c r="P865" s="436">
        <f t="shared" si="487"/>
        <v>0</v>
      </c>
      <c r="Q865" s="436">
        <f t="shared" si="487"/>
        <v>0</v>
      </c>
      <c r="R865" s="436">
        <f t="shared" si="487"/>
        <v>335668</v>
      </c>
      <c r="S865" s="436">
        <f t="shared" si="487"/>
        <v>0</v>
      </c>
      <c r="T865" s="436">
        <f t="shared" si="487"/>
        <v>0</v>
      </c>
      <c r="U865" s="436">
        <f t="shared" si="487"/>
        <v>335668</v>
      </c>
      <c r="V865" s="436">
        <f t="shared" si="487"/>
        <v>83917</v>
      </c>
      <c r="W865" s="436">
        <f>+W866</f>
        <v>83917</v>
      </c>
      <c r="X865" s="436">
        <f t="shared" si="487"/>
        <v>0</v>
      </c>
      <c r="Y865" s="436">
        <f t="shared" si="487"/>
        <v>83917</v>
      </c>
      <c r="Z865" s="436">
        <f t="shared" si="487"/>
        <v>0</v>
      </c>
      <c r="AA865" s="436">
        <f t="shared" si="487"/>
        <v>0</v>
      </c>
      <c r="AB865" s="437"/>
      <c r="AC865" s="380">
        <f t="shared" si="483"/>
        <v>0</v>
      </c>
    </row>
    <row r="866" spans="1:36" s="8" customFormat="1" ht="59.25" customHeight="1">
      <c r="A866" s="627" t="s">
        <v>144</v>
      </c>
      <c r="B866" s="106" t="s">
        <v>67</v>
      </c>
      <c r="C866" s="15" t="s">
        <v>1271</v>
      </c>
      <c r="D866" s="106"/>
      <c r="E866" s="106"/>
      <c r="F866" s="37" t="s">
        <v>68</v>
      </c>
      <c r="G866" s="37" t="s">
        <v>69</v>
      </c>
      <c r="H866" s="13" t="s">
        <v>48</v>
      </c>
      <c r="I866" s="37" t="s">
        <v>70</v>
      </c>
      <c r="J866" s="12">
        <v>18002000</v>
      </c>
      <c r="K866" s="12"/>
      <c r="L866" s="12">
        <v>2000000</v>
      </c>
      <c r="M866" s="12">
        <v>4500000</v>
      </c>
      <c r="N866" s="12"/>
      <c r="O866" s="12"/>
      <c r="P866" s="12"/>
      <c r="Q866" s="12"/>
      <c r="R866" s="12">
        <f>S866+T866+U866</f>
        <v>335668</v>
      </c>
      <c r="S866" s="12"/>
      <c r="T866" s="12"/>
      <c r="U866" s="12">
        <v>335668</v>
      </c>
      <c r="V866" s="12">
        <v>83917</v>
      </c>
      <c r="W866" s="616">
        <f>SUM(X866:AA866)</f>
        <v>83917</v>
      </c>
      <c r="X866" s="616"/>
      <c r="Y866" s="616">
        <v>83917</v>
      </c>
      <c r="Z866" s="616"/>
      <c r="AA866" s="616"/>
      <c r="AB866" s="616" t="s">
        <v>1639</v>
      </c>
      <c r="AC866" s="380">
        <f t="shared" si="483"/>
        <v>0</v>
      </c>
      <c r="AJ866" s="8" t="s">
        <v>685</v>
      </c>
    </row>
    <row r="867" spans="1:36" s="8" customFormat="1" ht="35.25" customHeight="1">
      <c r="A867" s="495" t="s">
        <v>1707</v>
      </c>
      <c r="B867" s="715" t="s">
        <v>377</v>
      </c>
      <c r="C867" s="731"/>
      <c r="D867" s="13"/>
      <c r="E867" s="13"/>
      <c r="F867" s="13"/>
      <c r="G867" s="13"/>
      <c r="H867" s="13"/>
      <c r="I867" s="13"/>
      <c r="J867" s="609">
        <f>+J868</f>
        <v>22998.223299000001</v>
      </c>
      <c r="K867" s="609">
        <f t="shared" ref="K867:AA867" si="488">+K868</f>
        <v>0</v>
      </c>
      <c r="L867" s="609">
        <f t="shared" si="488"/>
        <v>0</v>
      </c>
      <c r="M867" s="609">
        <f t="shared" si="488"/>
        <v>22998.223299000001</v>
      </c>
      <c r="N867" s="609">
        <f t="shared" si="488"/>
        <v>7527.6605129999998</v>
      </c>
      <c r="O867" s="609">
        <f t="shared" si="488"/>
        <v>0</v>
      </c>
      <c r="P867" s="609">
        <f t="shared" si="488"/>
        <v>0</v>
      </c>
      <c r="Q867" s="609">
        <f t="shared" si="488"/>
        <v>7527.6605129999998</v>
      </c>
      <c r="R867" s="609">
        <f t="shared" si="488"/>
        <v>13123</v>
      </c>
      <c r="S867" s="609">
        <f t="shared" si="488"/>
        <v>0</v>
      </c>
      <c r="T867" s="609">
        <f t="shared" si="488"/>
        <v>0</v>
      </c>
      <c r="U867" s="609">
        <f t="shared" si="488"/>
        <v>13123</v>
      </c>
      <c r="V867" s="609">
        <f t="shared" si="488"/>
        <v>9875</v>
      </c>
      <c r="W867" s="609">
        <f t="shared" si="488"/>
        <v>9875</v>
      </c>
      <c r="X867" s="609">
        <f t="shared" si="488"/>
        <v>0</v>
      </c>
      <c r="Y867" s="609">
        <f t="shared" si="488"/>
        <v>9875</v>
      </c>
      <c r="Z867" s="609">
        <f t="shared" si="488"/>
        <v>0</v>
      </c>
      <c r="AA867" s="609">
        <f t="shared" si="488"/>
        <v>0</v>
      </c>
      <c r="AB867" s="610"/>
      <c r="AC867" s="380">
        <f t="shared" si="483"/>
        <v>0</v>
      </c>
    </row>
    <row r="868" spans="1:36" s="8" customFormat="1" ht="35.25" customHeight="1">
      <c r="A868" s="426" t="s">
        <v>37</v>
      </c>
      <c r="B868" s="524" t="s">
        <v>234</v>
      </c>
      <c r="C868" s="524" t="s">
        <v>234</v>
      </c>
      <c r="D868" s="13"/>
      <c r="E868" s="13"/>
      <c r="F868" s="13"/>
      <c r="G868" s="13"/>
      <c r="H868" s="13"/>
      <c r="I868" s="13"/>
      <c r="J868" s="609">
        <f t="shared" ref="J868:Y868" si="489">+J869</f>
        <v>22998.223299000001</v>
      </c>
      <c r="K868" s="609">
        <f t="shared" si="489"/>
        <v>0</v>
      </c>
      <c r="L868" s="609">
        <f t="shared" si="489"/>
        <v>0</v>
      </c>
      <c r="M868" s="609">
        <f t="shared" si="489"/>
        <v>22998.223299000001</v>
      </c>
      <c r="N868" s="609">
        <f t="shared" si="489"/>
        <v>7527.6605129999998</v>
      </c>
      <c r="O868" s="609">
        <f t="shared" si="489"/>
        <v>0</v>
      </c>
      <c r="P868" s="609">
        <f t="shared" si="489"/>
        <v>0</v>
      </c>
      <c r="Q868" s="609">
        <f t="shared" si="489"/>
        <v>7527.6605129999998</v>
      </c>
      <c r="R868" s="609">
        <f t="shared" si="489"/>
        <v>13123</v>
      </c>
      <c r="S868" s="609">
        <f t="shared" si="489"/>
        <v>0</v>
      </c>
      <c r="T868" s="609">
        <f t="shared" si="489"/>
        <v>0</v>
      </c>
      <c r="U868" s="609">
        <f t="shared" si="489"/>
        <v>13123</v>
      </c>
      <c r="V868" s="609">
        <f t="shared" si="489"/>
        <v>9875</v>
      </c>
      <c r="W868" s="609">
        <f t="shared" si="489"/>
        <v>9875</v>
      </c>
      <c r="X868" s="609">
        <f t="shared" si="489"/>
        <v>0</v>
      </c>
      <c r="Y868" s="609">
        <f t="shared" si="489"/>
        <v>9875</v>
      </c>
      <c r="Z868" s="609">
        <f t="shared" ref="Z868:AA868" si="490">+Z869</f>
        <v>0</v>
      </c>
      <c r="AA868" s="609">
        <f t="shared" si="490"/>
        <v>0</v>
      </c>
      <c r="AB868" s="610"/>
      <c r="AC868" s="380">
        <f t="shared" si="483"/>
        <v>0</v>
      </c>
    </row>
    <row r="869" spans="1:36" s="417" customFormat="1" ht="24" customHeight="1">
      <c r="A869" s="393" t="s">
        <v>1305</v>
      </c>
      <c r="B869" s="394" t="s">
        <v>38</v>
      </c>
      <c r="C869" s="111" t="s">
        <v>234</v>
      </c>
      <c r="D869" s="421"/>
      <c r="E869" s="421"/>
      <c r="F869" s="421"/>
      <c r="G869" s="421"/>
      <c r="H869" s="421"/>
      <c r="I869" s="421"/>
      <c r="J869" s="453">
        <f t="shared" ref="J869:AA869" si="491">J871+J870</f>
        <v>22998.223299000001</v>
      </c>
      <c r="K869" s="453">
        <f t="shared" si="491"/>
        <v>0</v>
      </c>
      <c r="L869" s="453">
        <f t="shared" si="491"/>
        <v>0</v>
      </c>
      <c r="M869" s="453">
        <f t="shared" si="491"/>
        <v>22998.223299000001</v>
      </c>
      <c r="N869" s="453">
        <f t="shared" si="491"/>
        <v>7527.6605129999998</v>
      </c>
      <c r="O869" s="453">
        <f t="shared" si="491"/>
        <v>0</v>
      </c>
      <c r="P869" s="453">
        <f t="shared" si="491"/>
        <v>0</v>
      </c>
      <c r="Q869" s="453">
        <f t="shared" si="491"/>
        <v>7527.6605129999998</v>
      </c>
      <c r="R869" s="453">
        <f t="shared" si="491"/>
        <v>13123</v>
      </c>
      <c r="S869" s="453">
        <f t="shared" si="491"/>
        <v>0</v>
      </c>
      <c r="T869" s="453">
        <f t="shared" si="491"/>
        <v>0</v>
      </c>
      <c r="U869" s="453">
        <f t="shared" si="491"/>
        <v>13123</v>
      </c>
      <c r="V869" s="453">
        <f t="shared" si="491"/>
        <v>9875</v>
      </c>
      <c r="W869" s="453">
        <f t="shared" si="491"/>
        <v>9875</v>
      </c>
      <c r="X869" s="453">
        <f t="shared" si="491"/>
        <v>0</v>
      </c>
      <c r="Y869" s="453">
        <f t="shared" si="491"/>
        <v>9875</v>
      </c>
      <c r="Z869" s="453">
        <f t="shared" si="491"/>
        <v>0</v>
      </c>
      <c r="AA869" s="453">
        <f t="shared" si="491"/>
        <v>0</v>
      </c>
      <c r="AB869" s="454"/>
      <c r="AC869" s="380">
        <f t="shared" si="483"/>
        <v>0</v>
      </c>
    </row>
    <row r="870" spans="1:36" s="10" customFormat="1" ht="39.75" customHeight="1">
      <c r="A870" s="332" t="s">
        <v>39</v>
      </c>
      <c r="B870" s="326" t="s">
        <v>1254</v>
      </c>
      <c r="C870" s="111" t="s">
        <v>234</v>
      </c>
      <c r="D870" s="554"/>
      <c r="E870" s="332"/>
      <c r="F870" s="471"/>
      <c r="G870" s="471"/>
      <c r="H870" s="332"/>
      <c r="I870" s="471"/>
      <c r="J870" s="331"/>
      <c r="K870" s="331"/>
      <c r="L870" s="331"/>
      <c r="M870" s="331"/>
      <c r="N870" s="331"/>
      <c r="O870" s="331"/>
      <c r="P870" s="331"/>
      <c r="Q870" s="331"/>
      <c r="R870" s="331"/>
      <c r="S870" s="331"/>
      <c r="T870" s="331"/>
      <c r="U870" s="331"/>
      <c r="V870" s="331"/>
      <c r="W870" s="331"/>
      <c r="X870" s="331"/>
      <c r="Y870" s="331"/>
      <c r="Z870" s="331"/>
      <c r="AA870" s="331"/>
      <c r="AB870" s="332"/>
      <c r="AC870" s="380">
        <f t="shared" si="483"/>
        <v>0</v>
      </c>
    </row>
    <row r="871" spans="1:36" s="417" customFormat="1" ht="45.75" customHeight="1">
      <c r="A871" s="397" t="s">
        <v>467</v>
      </c>
      <c r="B871" s="400" t="s">
        <v>183</v>
      </c>
      <c r="C871" s="111" t="s">
        <v>234</v>
      </c>
      <c r="D871" s="423"/>
      <c r="E871" s="423"/>
      <c r="F871" s="328"/>
      <c r="G871" s="328"/>
      <c r="H871" s="328"/>
      <c r="I871" s="328"/>
      <c r="J871" s="436">
        <f t="shared" ref="J871:AA871" si="492">+J872</f>
        <v>22998.223299000001</v>
      </c>
      <c r="K871" s="436">
        <f t="shared" si="492"/>
        <v>0</v>
      </c>
      <c r="L871" s="436">
        <f t="shared" si="492"/>
        <v>0</v>
      </c>
      <c r="M871" s="436">
        <f t="shared" si="492"/>
        <v>22998.223299000001</v>
      </c>
      <c r="N871" s="436">
        <f t="shared" si="492"/>
        <v>7527.6605129999998</v>
      </c>
      <c r="O871" s="436">
        <f t="shared" si="492"/>
        <v>0</v>
      </c>
      <c r="P871" s="436">
        <f t="shared" si="492"/>
        <v>0</v>
      </c>
      <c r="Q871" s="436">
        <f t="shared" si="492"/>
        <v>7527.6605129999998</v>
      </c>
      <c r="R871" s="436">
        <f t="shared" si="492"/>
        <v>13123</v>
      </c>
      <c r="S871" s="436">
        <f t="shared" si="492"/>
        <v>0</v>
      </c>
      <c r="T871" s="436">
        <f t="shared" si="492"/>
        <v>0</v>
      </c>
      <c r="U871" s="436">
        <f t="shared" si="492"/>
        <v>13123</v>
      </c>
      <c r="V871" s="436">
        <f t="shared" si="492"/>
        <v>9875</v>
      </c>
      <c r="W871" s="436">
        <f>+W872</f>
        <v>9875</v>
      </c>
      <c r="X871" s="436">
        <f t="shared" si="492"/>
        <v>0</v>
      </c>
      <c r="Y871" s="436">
        <f t="shared" si="492"/>
        <v>9875</v>
      </c>
      <c r="Z871" s="436">
        <f t="shared" si="492"/>
        <v>0</v>
      </c>
      <c r="AA871" s="436">
        <f t="shared" si="492"/>
        <v>0</v>
      </c>
      <c r="AB871" s="437"/>
      <c r="AC871" s="380">
        <f t="shared" si="483"/>
        <v>0</v>
      </c>
    </row>
    <row r="872" spans="1:36" s="7" customFormat="1" ht="57" customHeight="1">
      <c r="A872" s="26" t="s">
        <v>144</v>
      </c>
      <c r="B872" s="27" t="s">
        <v>378</v>
      </c>
      <c r="C872" s="111" t="s">
        <v>234</v>
      </c>
      <c r="D872" s="13">
        <v>7928434</v>
      </c>
      <c r="E872" s="313">
        <v>311</v>
      </c>
      <c r="F872" s="13" t="s">
        <v>379</v>
      </c>
      <c r="G872" s="545" t="s">
        <v>380</v>
      </c>
      <c r="H872" s="13" t="s">
        <v>244</v>
      </c>
      <c r="I872" s="13" t="s">
        <v>381</v>
      </c>
      <c r="J872" s="113">
        <v>22998.223299000001</v>
      </c>
      <c r="K872" s="113"/>
      <c r="L872" s="113"/>
      <c r="M872" s="113">
        <v>22998.223299000001</v>
      </c>
      <c r="N872" s="110">
        <f>O872+P872+Q872</f>
        <v>7527.6605129999998</v>
      </c>
      <c r="O872" s="110"/>
      <c r="P872" s="110"/>
      <c r="Q872" s="110">
        <v>7527.6605129999998</v>
      </c>
      <c r="R872" s="110">
        <f>S872+T872+U872</f>
        <v>13123</v>
      </c>
      <c r="S872" s="110"/>
      <c r="T872" s="110"/>
      <c r="U872" s="110">
        <v>13123</v>
      </c>
      <c r="V872" s="407">
        <f>9877-2</f>
        <v>9875</v>
      </c>
      <c r="W872" s="110">
        <v>9875</v>
      </c>
      <c r="X872" s="110"/>
      <c r="Y872" s="110">
        <v>9875</v>
      </c>
      <c r="Z872" s="110"/>
      <c r="AA872" s="110"/>
      <c r="AB872" s="108" t="s">
        <v>1622</v>
      </c>
      <c r="AC872" s="380">
        <f t="shared" si="483"/>
        <v>0</v>
      </c>
      <c r="AJ872" s="7" t="s">
        <v>685</v>
      </c>
    </row>
    <row r="873" spans="1:36" s="422" customFormat="1" ht="38.25" customHeight="1">
      <c r="A873" s="495" t="s">
        <v>1708</v>
      </c>
      <c r="B873" s="443" t="s">
        <v>300</v>
      </c>
      <c r="C873" s="421"/>
      <c r="D873" s="421"/>
      <c r="E873" s="421"/>
      <c r="F873" s="421"/>
      <c r="G873" s="421"/>
      <c r="H873" s="421"/>
      <c r="I873" s="421"/>
      <c r="J873" s="505">
        <f>+J874+J881+J887+J893+J900+J907+J915+J920+J925+J930+J939+J943+J935</f>
        <v>2562982.9651210001</v>
      </c>
      <c r="K873" s="505">
        <f t="shared" ref="K873:AB873" si="493">+K874+K881+K887+K893+K900+K907+K915+K920+K925+K930+K939+K943+K935</f>
        <v>0</v>
      </c>
      <c r="L873" s="505">
        <f t="shared" si="493"/>
        <v>446868</v>
      </c>
      <c r="M873" s="505">
        <f t="shared" si="493"/>
        <v>2116114.9651210001</v>
      </c>
      <c r="N873" s="505">
        <f t="shared" si="493"/>
        <v>972013.87898400007</v>
      </c>
      <c r="O873" s="505">
        <f t="shared" si="493"/>
        <v>0</v>
      </c>
      <c r="P873" s="505">
        <f t="shared" si="493"/>
        <v>177459</v>
      </c>
      <c r="Q873" s="505">
        <f t="shared" si="493"/>
        <v>794554.87898400007</v>
      </c>
      <c r="R873" s="505">
        <f t="shared" si="493"/>
        <v>1154159.7975969999</v>
      </c>
      <c r="S873" s="505">
        <f t="shared" si="493"/>
        <v>0</v>
      </c>
      <c r="T873" s="505">
        <f t="shared" si="493"/>
        <v>177459</v>
      </c>
      <c r="U873" s="505">
        <f t="shared" si="493"/>
        <v>976700.79759700003</v>
      </c>
      <c r="V873" s="505">
        <f t="shared" si="493"/>
        <v>3539165.5660000001</v>
      </c>
      <c r="W873" s="505">
        <f t="shared" si="493"/>
        <v>830657</v>
      </c>
      <c r="X873" s="505">
        <f t="shared" si="493"/>
        <v>36045</v>
      </c>
      <c r="Y873" s="505">
        <f t="shared" si="493"/>
        <v>638849</v>
      </c>
      <c r="Z873" s="505">
        <f t="shared" si="493"/>
        <v>155763</v>
      </c>
      <c r="AA873" s="505">
        <f t="shared" si="493"/>
        <v>0</v>
      </c>
      <c r="AB873" s="505">
        <f t="shared" si="493"/>
        <v>0</v>
      </c>
      <c r="AC873" s="380">
        <f t="shared" si="483"/>
        <v>0</v>
      </c>
    </row>
    <row r="874" spans="1:36" s="231" customFormat="1" ht="27.75" customHeight="1">
      <c r="A874" s="426" t="s">
        <v>37</v>
      </c>
      <c r="B874" s="317" t="s">
        <v>247</v>
      </c>
      <c r="C874" s="317" t="s">
        <v>247</v>
      </c>
      <c r="D874" s="320"/>
      <c r="E874" s="320"/>
      <c r="F874" s="320"/>
      <c r="G874" s="320"/>
      <c r="H874" s="320"/>
      <c r="I874" s="320"/>
      <c r="J874" s="609">
        <f>+J875</f>
        <v>910397</v>
      </c>
      <c r="K874" s="609">
        <f t="shared" ref="K874:AA874" si="494">+K875</f>
        <v>0</v>
      </c>
      <c r="L874" s="609">
        <f t="shared" si="494"/>
        <v>0</v>
      </c>
      <c r="M874" s="609">
        <f t="shared" si="494"/>
        <v>910397</v>
      </c>
      <c r="N874" s="609">
        <f t="shared" si="494"/>
        <v>407887</v>
      </c>
      <c r="O874" s="609">
        <f t="shared" si="494"/>
        <v>0</v>
      </c>
      <c r="P874" s="609">
        <f t="shared" si="494"/>
        <v>0</v>
      </c>
      <c r="Q874" s="609">
        <f t="shared" si="494"/>
        <v>407887</v>
      </c>
      <c r="R874" s="609">
        <f t="shared" si="494"/>
        <v>407887</v>
      </c>
      <c r="S874" s="609">
        <f t="shared" si="494"/>
        <v>0</v>
      </c>
      <c r="T874" s="609">
        <f t="shared" si="494"/>
        <v>0</v>
      </c>
      <c r="U874" s="609">
        <f t="shared" si="494"/>
        <v>407887</v>
      </c>
      <c r="V874" s="609">
        <f t="shared" si="494"/>
        <v>455855</v>
      </c>
      <c r="W874" s="609">
        <f>+W875</f>
        <v>147000</v>
      </c>
      <c r="X874" s="609">
        <f t="shared" si="494"/>
        <v>0</v>
      </c>
      <c r="Y874" s="609">
        <f t="shared" si="494"/>
        <v>75194</v>
      </c>
      <c r="Z874" s="609">
        <f t="shared" si="494"/>
        <v>71806</v>
      </c>
      <c r="AA874" s="609">
        <f t="shared" si="494"/>
        <v>0</v>
      </c>
      <c r="AB874" s="610"/>
      <c r="AC874" s="380">
        <f t="shared" si="483"/>
        <v>0</v>
      </c>
    </row>
    <row r="875" spans="1:36" s="10" customFormat="1" ht="29.25" customHeight="1">
      <c r="A875" s="393" t="s">
        <v>1305</v>
      </c>
      <c r="B875" s="394" t="s">
        <v>38</v>
      </c>
      <c r="C875" s="15" t="s">
        <v>247</v>
      </c>
      <c r="D875" s="421"/>
      <c r="E875" s="421"/>
      <c r="F875" s="421"/>
      <c r="G875" s="421"/>
      <c r="H875" s="421"/>
      <c r="I875" s="421"/>
      <c r="J875" s="505">
        <f>+J877+J876</f>
        <v>910397</v>
      </c>
      <c r="K875" s="505">
        <f t="shared" ref="K875:AA875" si="495">+K877+K876</f>
        <v>0</v>
      </c>
      <c r="L875" s="505">
        <f t="shared" si="495"/>
        <v>0</v>
      </c>
      <c r="M875" s="505">
        <f t="shared" si="495"/>
        <v>910397</v>
      </c>
      <c r="N875" s="505">
        <f t="shared" si="495"/>
        <v>407887</v>
      </c>
      <c r="O875" s="505">
        <f t="shared" si="495"/>
        <v>0</v>
      </c>
      <c r="P875" s="505">
        <f t="shared" si="495"/>
        <v>0</v>
      </c>
      <c r="Q875" s="505">
        <f t="shared" si="495"/>
        <v>407887</v>
      </c>
      <c r="R875" s="505">
        <f t="shared" si="495"/>
        <v>407887</v>
      </c>
      <c r="S875" s="505">
        <f t="shared" si="495"/>
        <v>0</v>
      </c>
      <c r="T875" s="505">
        <f t="shared" si="495"/>
        <v>0</v>
      </c>
      <c r="U875" s="505">
        <f t="shared" si="495"/>
        <v>407887</v>
      </c>
      <c r="V875" s="505">
        <f t="shared" si="495"/>
        <v>455855</v>
      </c>
      <c r="W875" s="505">
        <f>+W877+W876</f>
        <v>147000</v>
      </c>
      <c r="X875" s="505">
        <f t="shared" si="495"/>
        <v>0</v>
      </c>
      <c r="Y875" s="505">
        <f t="shared" si="495"/>
        <v>75194</v>
      </c>
      <c r="Z875" s="505">
        <f t="shared" si="495"/>
        <v>71806</v>
      </c>
      <c r="AA875" s="505">
        <f t="shared" si="495"/>
        <v>0</v>
      </c>
      <c r="AB875" s="506"/>
      <c r="AC875" s="380">
        <f t="shared" si="483"/>
        <v>0</v>
      </c>
    </row>
    <row r="876" spans="1:36" s="10" customFormat="1" ht="39.75" customHeight="1">
      <c r="A876" s="332" t="s">
        <v>39</v>
      </c>
      <c r="B876" s="326" t="s">
        <v>1254</v>
      </c>
      <c r="C876" s="15" t="s">
        <v>247</v>
      </c>
      <c r="D876" s="554"/>
      <c r="E876" s="332"/>
      <c r="F876" s="471"/>
      <c r="G876" s="471"/>
      <c r="H876" s="332"/>
      <c r="I876" s="471"/>
      <c r="J876" s="331"/>
      <c r="K876" s="331"/>
      <c r="L876" s="331"/>
      <c r="M876" s="331"/>
      <c r="N876" s="331"/>
      <c r="O876" s="331"/>
      <c r="P876" s="331"/>
      <c r="Q876" s="331"/>
      <c r="R876" s="331"/>
      <c r="S876" s="331"/>
      <c r="T876" s="331"/>
      <c r="U876" s="331"/>
      <c r="V876" s="331"/>
      <c r="W876" s="331"/>
      <c r="X876" s="331"/>
      <c r="Y876" s="331"/>
      <c r="Z876" s="331"/>
      <c r="AA876" s="331"/>
      <c r="AB876" s="332"/>
      <c r="AC876" s="380">
        <f t="shared" si="483"/>
        <v>0</v>
      </c>
    </row>
    <row r="877" spans="1:36" s="10" customFormat="1" ht="53.25" customHeight="1">
      <c r="A877" s="397" t="s">
        <v>467</v>
      </c>
      <c r="B877" s="400" t="s">
        <v>183</v>
      </c>
      <c r="C877" s="15" t="s">
        <v>247</v>
      </c>
      <c r="D877" s="435"/>
      <c r="E877" s="435"/>
      <c r="F877" s="328"/>
      <c r="G877" s="328"/>
      <c r="H877" s="328"/>
      <c r="I877" s="328"/>
      <c r="J877" s="508">
        <f>+J878+J879+J880</f>
        <v>910397</v>
      </c>
      <c r="K877" s="508">
        <f t="shared" ref="K877:AA877" si="496">+K878+K879+K880</f>
        <v>0</v>
      </c>
      <c r="L877" s="508">
        <f t="shared" si="496"/>
        <v>0</v>
      </c>
      <c r="M877" s="508">
        <f t="shared" si="496"/>
        <v>910397</v>
      </c>
      <c r="N877" s="508">
        <f t="shared" si="496"/>
        <v>407887</v>
      </c>
      <c r="O877" s="508">
        <f t="shared" si="496"/>
        <v>0</v>
      </c>
      <c r="P877" s="508">
        <f t="shared" si="496"/>
        <v>0</v>
      </c>
      <c r="Q877" s="508">
        <f t="shared" si="496"/>
        <v>407887</v>
      </c>
      <c r="R877" s="508">
        <f t="shared" si="496"/>
        <v>407887</v>
      </c>
      <c r="S877" s="508">
        <f t="shared" si="496"/>
        <v>0</v>
      </c>
      <c r="T877" s="508">
        <f t="shared" si="496"/>
        <v>0</v>
      </c>
      <c r="U877" s="508">
        <f t="shared" si="496"/>
        <v>407887</v>
      </c>
      <c r="V877" s="508">
        <f t="shared" si="496"/>
        <v>455855</v>
      </c>
      <c r="W877" s="508">
        <f>+W878+W879+W880</f>
        <v>147000</v>
      </c>
      <c r="X877" s="508">
        <f t="shared" si="496"/>
        <v>0</v>
      </c>
      <c r="Y877" s="508">
        <f t="shared" si="496"/>
        <v>75194</v>
      </c>
      <c r="Z877" s="508">
        <f t="shared" si="496"/>
        <v>71806</v>
      </c>
      <c r="AA877" s="508">
        <f t="shared" si="496"/>
        <v>0</v>
      </c>
      <c r="AB877" s="509"/>
      <c r="AC877" s="380">
        <f t="shared" si="483"/>
        <v>0</v>
      </c>
    </row>
    <row r="878" spans="1:36" s="8" customFormat="1" ht="42.75" customHeight="1">
      <c r="A878" s="430" t="s">
        <v>144</v>
      </c>
      <c r="B878" s="27" t="s">
        <v>433</v>
      </c>
      <c r="C878" s="15" t="s">
        <v>247</v>
      </c>
      <c r="D878" s="13">
        <v>7972779</v>
      </c>
      <c r="E878" s="13">
        <v>309</v>
      </c>
      <c r="F878" s="13" t="s">
        <v>217</v>
      </c>
      <c r="G878" s="13"/>
      <c r="H878" s="13" t="s">
        <v>41</v>
      </c>
      <c r="I878" s="13" t="s">
        <v>434</v>
      </c>
      <c r="J878" s="28">
        <f>SUM(K878:M878)</f>
        <v>798703</v>
      </c>
      <c r="K878" s="28">
        <v>0</v>
      </c>
      <c r="L878" s="28">
        <v>0</v>
      </c>
      <c r="M878" s="399">
        <v>798703</v>
      </c>
      <c r="N878" s="28">
        <f>SUM(O878:Q878)</f>
        <v>346158</v>
      </c>
      <c r="O878" s="28">
        <v>0</v>
      </c>
      <c r="P878" s="28">
        <v>0</v>
      </c>
      <c r="Q878" s="12">
        <v>346158</v>
      </c>
      <c r="R878" s="28">
        <f>SUM(S878:U878)</f>
        <v>346158</v>
      </c>
      <c r="S878" s="28">
        <v>0</v>
      </c>
      <c r="T878" s="28">
        <v>0</v>
      </c>
      <c r="U878" s="12">
        <v>346158</v>
      </c>
      <c r="V878" s="407">
        <v>431155</v>
      </c>
      <c r="W878" s="12">
        <f>SUM(X878:AA878)</f>
        <v>130000</v>
      </c>
      <c r="X878" s="12"/>
      <c r="Y878" s="12">
        <v>68194</v>
      </c>
      <c r="Z878" s="12">
        <f>130000-68194</f>
        <v>61806</v>
      </c>
      <c r="AA878" s="12"/>
      <c r="AB878" s="91" t="s">
        <v>1639</v>
      </c>
      <c r="AC878" s="380">
        <f t="shared" si="483"/>
        <v>0</v>
      </c>
      <c r="AJ878" s="8" t="s">
        <v>685</v>
      </c>
    </row>
    <row r="879" spans="1:36" s="8" customFormat="1" ht="47.25" customHeight="1">
      <c r="A879" s="430" t="s">
        <v>144</v>
      </c>
      <c r="B879" s="27" t="s">
        <v>435</v>
      </c>
      <c r="C879" s="15" t="s">
        <v>247</v>
      </c>
      <c r="D879" s="13">
        <v>7790806</v>
      </c>
      <c r="E879" s="13">
        <v>309</v>
      </c>
      <c r="F879" s="13" t="s">
        <v>436</v>
      </c>
      <c r="G879" s="13"/>
      <c r="H879" s="13" t="s">
        <v>437</v>
      </c>
      <c r="I879" s="13" t="s">
        <v>438</v>
      </c>
      <c r="J879" s="28">
        <f>SUM(K879:M879)</f>
        <v>51778</v>
      </c>
      <c r="K879" s="28">
        <v>0</v>
      </c>
      <c r="L879" s="28">
        <v>0</v>
      </c>
      <c r="M879" s="399">
        <v>51778</v>
      </c>
      <c r="N879" s="28">
        <f>SUM(O879:Q879)</f>
        <v>19284</v>
      </c>
      <c r="O879" s="28">
        <v>0</v>
      </c>
      <c r="P879" s="28">
        <v>0</v>
      </c>
      <c r="Q879" s="12">
        <v>19284</v>
      </c>
      <c r="R879" s="28">
        <f>SUM(S879:U879)</f>
        <v>19284</v>
      </c>
      <c r="S879" s="28">
        <v>0</v>
      </c>
      <c r="T879" s="28">
        <v>0</v>
      </c>
      <c r="U879" s="12">
        <v>19284</v>
      </c>
      <c r="V879" s="407">
        <v>14000</v>
      </c>
      <c r="W879" s="12">
        <f t="shared" ref="W879:W880" si="497">SUM(X879:AA879)</f>
        <v>10000</v>
      </c>
      <c r="X879" s="12"/>
      <c r="Y879" s="12"/>
      <c r="Z879" s="12">
        <v>10000</v>
      </c>
      <c r="AA879" s="12"/>
      <c r="AB879" s="91" t="s">
        <v>1639</v>
      </c>
      <c r="AC879" s="380">
        <f t="shared" si="483"/>
        <v>0</v>
      </c>
      <c r="AJ879" s="8" t="s">
        <v>685</v>
      </c>
    </row>
    <row r="880" spans="1:36" s="8" customFormat="1" ht="55.5" customHeight="1">
      <c r="A880" s="430" t="s">
        <v>144</v>
      </c>
      <c r="B880" s="27" t="s">
        <v>439</v>
      </c>
      <c r="C880" s="15" t="s">
        <v>247</v>
      </c>
      <c r="D880" s="13">
        <v>7840552</v>
      </c>
      <c r="E880" s="13">
        <v>309</v>
      </c>
      <c r="F880" s="13" t="s">
        <v>296</v>
      </c>
      <c r="G880" s="13"/>
      <c r="H880" s="13" t="s">
        <v>440</v>
      </c>
      <c r="I880" s="13" t="s">
        <v>441</v>
      </c>
      <c r="J880" s="28">
        <f>SUM(K880:M880)</f>
        <v>59916</v>
      </c>
      <c r="K880" s="28">
        <v>0</v>
      </c>
      <c r="L880" s="28">
        <v>0</v>
      </c>
      <c r="M880" s="399">
        <v>59916</v>
      </c>
      <c r="N880" s="28">
        <f>SUM(O880:Q880)</f>
        <v>42445</v>
      </c>
      <c r="O880" s="28">
        <v>0</v>
      </c>
      <c r="P880" s="28">
        <v>0</v>
      </c>
      <c r="Q880" s="12">
        <v>42445</v>
      </c>
      <c r="R880" s="28">
        <f>SUM(S880:U880)</f>
        <v>42445</v>
      </c>
      <c r="S880" s="28">
        <v>0</v>
      </c>
      <c r="T880" s="28">
        <v>0</v>
      </c>
      <c r="U880" s="12">
        <v>42445</v>
      </c>
      <c r="V880" s="407">
        <v>10700</v>
      </c>
      <c r="W880" s="12">
        <f t="shared" si="497"/>
        <v>7000</v>
      </c>
      <c r="X880" s="12"/>
      <c r="Y880" s="12">
        <v>7000</v>
      </c>
      <c r="Z880" s="12"/>
      <c r="AA880" s="12"/>
      <c r="AB880" s="91" t="s">
        <v>1639</v>
      </c>
      <c r="AC880" s="380">
        <f t="shared" si="483"/>
        <v>0</v>
      </c>
      <c r="AJ880" s="8" t="s">
        <v>685</v>
      </c>
    </row>
    <row r="881" spans="1:36" s="8" customFormat="1" ht="33" customHeight="1">
      <c r="A881" s="426" t="s">
        <v>204</v>
      </c>
      <c r="B881" s="524" t="s">
        <v>234</v>
      </c>
      <c r="C881" s="524" t="s">
        <v>234</v>
      </c>
      <c r="D881" s="13"/>
      <c r="E881" s="13"/>
      <c r="F881" s="13"/>
      <c r="G881" s="13"/>
      <c r="H881" s="13"/>
      <c r="I881" s="13"/>
      <c r="J881" s="609">
        <f t="shared" ref="J881:V881" si="498">+J882</f>
        <v>21760.965121000001</v>
      </c>
      <c r="K881" s="609">
        <f t="shared" si="498"/>
        <v>0</v>
      </c>
      <c r="L881" s="609">
        <f t="shared" si="498"/>
        <v>0</v>
      </c>
      <c r="M881" s="609">
        <f t="shared" si="498"/>
        <v>21760.965121000001</v>
      </c>
      <c r="N881" s="609">
        <f t="shared" si="498"/>
        <v>2065.8789839999999</v>
      </c>
      <c r="O881" s="609">
        <f t="shared" si="498"/>
        <v>0</v>
      </c>
      <c r="P881" s="609">
        <f t="shared" si="498"/>
        <v>0</v>
      </c>
      <c r="Q881" s="609">
        <f t="shared" si="498"/>
        <v>2065.8789839999999</v>
      </c>
      <c r="R881" s="609">
        <f t="shared" si="498"/>
        <v>6684.7975970000007</v>
      </c>
      <c r="S881" s="609">
        <f t="shared" si="498"/>
        <v>0</v>
      </c>
      <c r="T881" s="609">
        <f t="shared" si="498"/>
        <v>0</v>
      </c>
      <c r="U881" s="609">
        <f t="shared" si="498"/>
        <v>6684.7975970000007</v>
      </c>
      <c r="V881" s="609">
        <f t="shared" si="498"/>
        <v>15077</v>
      </c>
      <c r="W881" s="609">
        <f>W882</f>
        <v>8000</v>
      </c>
      <c r="X881" s="609">
        <f t="shared" ref="X881:AA881" si="499">X882</f>
        <v>0</v>
      </c>
      <c r="Y881" s="609">
        <f t="shared" si="499"/>
        <v>8000</v>
      </c>
      <c r="Z881" s="609">
        <f t="shared" si="499"/>
        <v>0</v>
      </c>
      <c r="AA881" s="609">
        <f t="shared" si="499"/>
        <v>0</v>
      </c>
      <c r="AB881" s="610"/>
      <c r="AC881" s="380">
        <f t="shared" si="483"/>
        <v>0</v>
      </c>
    </row>
    <row r="882" spans="1:36" s="10" customFormat="1" ht="29.25" customHeight="1">
      <c r="A882" s="393" t="s">
        <v>1287</v>
      </c>
      <c r="B882" s="394" t="s">
        <v>38</v>
      </c>
      <c r="C882" s="111" t="s">
        <v>234</v>
      </c>
      <c r="D882" s="421"/>
      <c r="E882" s="421"/>
      <c r="F882" s="421"/>
      <c r="G882" s="421"/>
      <c r="H882" s="421"/>
      <c r="I882" s="421"/>
      <c r="J882" s="505">
        <f t="shared" ref="J882:AA882" si="500">+J884+J883</f>
        <v>21760.965121000001</v>
      </c>
      <c r="K882" s="505">
        <f t="shared" si="500"/>
        <v>0</v>
      </c>
      <c r="L882" s="505">
        <f t="shared" si="500"/>
        <v>0</v>
      </c>
      <c r="M882" s="505">
        <f t="shared" si="500"/>
        <v>21760.965121000001</v>
      </c>
      <c r="N882" s="505">
        <f t="shared" si="500"/>
        <v>2065.8789839999999</v>
      </c>
      <c r="O882" s="505">
        <f t="shared" si="500"/>
        <v>0</v>
      </c>
      <c r="P882" s="505">
        <f t="shared" si="500"/>
        <v>0</v>
      </c>
      <c r="Q882" s="505">
        <f t="shared" si="500"/>
        <v>2065.8789839999999</v>
      </c>
      <c r="R882" s="505">
        <f t="shared" si="500"/>
        <v>6684.7975970000007</v>
      </c>
      <c r="S882" s="505">
        <f t="shared" si="500"/>
        <v>0</v>
      </c>
      <c r="T882" s="505">
        <f t="shared" si="500"/>
        <v>0</v>
      </c>
      <c r="U882" s="505">
        <f t="shared" si="500"/>
        <v>6684.7975970000007</v>
      </c>
      <c r="V882" s="505">
        <f t="shared" si="500"/>
        <v>15077</v>
      </c>
      <c r="W882" s="505">
        <f t="shared" si="500"/>
        <v>8000</v>
      </c>
      <c r="X882" s="505">
        <f t="shared" si="500"/>
        <v>0</v>
      </c>
      <c r="Y882" s="505">
        <f t="shared" si="500"/>
        <v>8000</v>
      </c>
      <c r="Z882" s="505">
        <f t="shared" si="500"/>
        <v>0</v>
      </c>
      <c r="AA882" s="505">
        <f t="shared" si="500"/>
        <v>0</v>
      </c>
      <c r="AB882" s="506"/>
      <c r="AC882" s="380">
        <f t="shared" si="483"/>
        <v>0</v>
      </c>
    </row>
    <row r="883" spans="1:36" s="10" customFormat="1" ht="39.75" customHeight="1">
      <c r="A883" s="332" t="s">
        <v>39</v>
      </c>
      <c r="B883" s="326" t="s">
        <v>1254</v>
      </c>
      <c r="C883" s="111" t="s">
        <v>234</v>
      </c>
      <c r="D883" s="554"/>
      <c r="E883" s="332"/>
      <c r="F883" s="471"/>
      <c r="G883" s="471"/>
      <c r="H883" s="332"/>
      <c r="I883" s="471"/>
      <c r="J883" s="331"/>
      <c r="K883" s="331"/>
      <c r="L883" s="331"/>
      <c r="M883" s="331"/>
      <c r="N883" s="331"/>
      <c r="O883" s="331"/>
      <c r="P883" s="331"/>
      <c r="Q883" s="331"/>
      <c r="R883" s="331"/>
      <c r="S883" s="331"/>
      <c r="T883" s="331"/>
      <c r="U883" s="331"/>
      <c r="V883" s="331"/>
      <c r="W883" s="331"/>
      <c r="X883" s="331"/>
      <c r="Y883" s="331"/>
      <c r="Z883" s="331"/>
      <c r="AA883" s="331"/>
      <c r="AB883" s="332"/>
      <c r="AC883" s="380">
        <f t="shared" si="483"/>
        <v>0</v>
      </c>
    </row>
    <row r="884" spans="1:36" s="10" customFormat="1" ht="51" customHeight="1">
      <c r="A884" s="397" t="s">
        <v>467</v>
      </c>
      <c r="B884" s="400" t="s">
        <v>183</v>
      </c>
      <c r="C884" s="111" t="s">
        <v>234</v>
      </c>
      <c r="D884" s="435"/>
      <c r="E884" s="435"/>
      <c r="F884" s="328"/>
      <c r="G884" s="328"/>
      <c r="H884" s="328"/>
      <c r="I884" s="328"/>
      <c r="J884" s="508">
        <f>+J885+J886</f>
        <v>21760.965121000001</v>
      </c>
      <c r="K884" s="508">
        <f t="shared" ref="K884:AA884" si="501">+K885+K886</f>
        <v>0</v>
      </c>
      <c r="L884" s="508">
        <f t="shared" si="501"/>
        <v>0</v>
      </c>
      <c r="M884" s="508">
        <f t="shared" si="501"/>
        <v>21760.965121000001</v>
      </c>
      <c r="N884" s="508">
        <f t="shared" si="501"/>
        <v>2065.8789839999999</v>
      </c>
      <c r="O884" s="508">
        <f t="shared" si="501"/>
        <v>0</v>
      </c>
      <c r="P884" s="508">
        <f t="shared" si="501"/>
        <v>0</v>
      </c>
      <c r="Q884" s="508">
        <f t="shared" si="501"/>
        <v>2065.8789839999999</v>
      </c>
      <c r="R884" s="508">
        <f t="shared" si="501"/>
        <v>6684.7975970000007</v>
      </c>
      <c r="S884" s="508">
        <f t="shared" si="501"/>
        <v>0</v>
      </c>
      <c r="T884" s="508">
        <f t="shared" si="501"/>
        <v>0</v>
      </c>
      <c r="U884" s="508">
        <f t="shared" si="501"/>
        <v>6684.7975970000007</v>
      </c>
      <c r="V884" s="508">
        <f t="shared" si="501"/>
        <v>15077</v>
      </c>
      <c r="W884" s="508">
        <f>+W885+W886</f>
        <v>8000</v>
      </c>
      <c r="X884" s="508">
        <f t="shared" si="501"/>
        <v>0</v>
      </c>
      <c r="Y884" s="508">
        <f t="shared" si="501"/>
        <v>8000</v>
      </c>
      <c r="Z884" s="508">
        <f t="shared" si="501"/>
        <v>0</v>
      </c>
      <c r="AA884" s="508">
        <f t="shared" si="501"/>
        <v>0</v>
      </c>
      <c r="AB884" s="509"/>
      <c r="AC884" s="380">
        <f t="shared" si="483"/>
        <v>0</v>
      </c>
    </row>
    <row r="885" spans="1:36" s="7" customFormat="1" ht="45">
      <c r="A885" s="26" t="s">
        <v>144</v>
      </c>
      <c r="B885" s="27" t="s">
        <v>382</v>
      </c>
      <c r="C885" s="111" t="s">
        <v>234</v>
      </c>
      <c r="D885" s="13">
        <v>7909547</v>
      </c>
      <c r="E885" s="313">
        <v>338</v>
      </c>
      <c r="F885" s="13" t="s">
        <v>265</v>
      </c>
      <c r="G885" s="108" t="s">
        <v>383</v>
      </c>
      <c r="H885" s="13" t="s">
        <v>244</v>
      </c>
      <c r="I885" s="13" t="s">
        <v>384</v>
      </c>
      <c r="J885" s="113">
        <v>11173.969121</v>
      </c>
      <c r="K885" s="113"/>
      <c r="L885" s="113"/>
      <c r="M885" s="113">
        <v>11173.969121</v>
      </c>
      <c r="N885" s="110">
        <f>O885+P885+Q885</f>
        <v>1608.719574</v>
      </c>
      <c r="O885" s="110"/>
      <c r="P885" s="110"/>
      <c r="Q885" s="110">
        <v>1608.719574</v>
      </c>
      <c r="R885" s="110">
        <f>S885+T885+U885</f>
        <v>3889.343597</v>
      </c>
      <c r="S885" s="110"/>
      <c r="T885" s="110"/>
      <c r="U885" s="110">
        <v>3889.343597</v>
      </c>
      <c r="V885" s="407">
        <v>7285</v>
      </c>
      <c r="W885" s="110">
        <f>SUM(X885:AA885)</f>
        <v>5000</v>
      </c>
      <c r="X885" s="110"/>
      <c r="Y885" s="110">
        <v>5000</v>
      </c>
      <c r="Z885" s="110"/>
      <c r="AA885" s="110"/>
      <c r="AB885" s="91" t="s">
        <v>1639</v>
      </c>
      <c r="AC885" s="380">
        <f t="shared" si="483"/>
        <v>0</v>
      </c>
      <c r="AJ885" s="7" t="s">
        <v>685</v>
      </c>
    </row>
    <row r="886" spans="1:36" s="7" customFormat="1" ht="75.75" customHeight="1">
      <c r="A886" s="26" t="s">
        <v>144</v>
      </c>
      <c r="B886" s="27" t="s">
        <v>385</v>
      </c>
      <c r="C886" s="111" t="s">
        <v>234</v>
      </c>
      <c r="D886" s="13">
        <v>7904471</v>
      </c>
      <c r="E886" s="313">
        <v>312</v>
      </c>
      <c r="F886" s="13" t="s">
        <v>265</v>
      </c>
      <c r="G886" s="108" t="s">
        <v>386</v>
      </c>
      <c r="H886" s="13" t="s">
        <v>187</v>
      </c>
      <c r="I886" s="13" t="s">
        <v>387</v>
      </c>
      <c r="J886" s="113">
        <v>10586.995999999999</v>
      </c>
      <c r="K886" s="113"/>
      <c r="L886" s="113"/>
      <c r="M886" s="113">
        <v>10586.995999999999</v>
      </c>
      <c r="N886" s="110">
        <f>O886+P886+Q886</f>
        <v>457.15941000000004</v>
      </c>
      <c r="O886" s="110"/>
      <c r="P886" s="110"/>
      <c r="Q886" s="110">
        <v>457.15941000000004</v>
      </c>
      <c r="R886" s="110">
        <f>S886+T886+U886</f>
        <v>2795.4540000000002</v>
      </c>
      <c r="S886" s="110"/>
      <c r="T886" s="110"/>
      <c r="U886" s="110">
        <v>2795.4540000000002</v>
      </c>
      <c r="V886" s="407">
        <v>7792</v>
      </c>
      <c r="W886" s="110">
        <f>SUM(X886:AA886)</f>
        <v>3000</v>
      </c>
      <c r="X886" s="110"/>
      <c r="Y886" s="110">
        <v>3000</v>
      </c>
      <c r="Z886" s="110"/>
      <c r="AA886" s="110"/>
      <c r="AB886" s="616" t="s">
        <v>1639</v>
      </c>
      <c r="AC886" s="380">
        <f t="shared" si="483"/>
        <v>0</v>
      </c>
      <c r="AJ886" s="7" t="s">
        <v>685</v>
      </c>
    </row>
    <row r="887" spans="1:36" s="8" customFormat="1" ht="34.5" customHeight="1">
      <c r="A887" s="389">
        <v>3</v>
      </c>
      <c r="B887" s="732" t="s">
        <v>974</v>
      </c>
      <c r="C887" s="732" t="s">
        <v>974</v>
      </c>
      <c r="D887" s="390"/>
      <c r="E887" s="390"/>
      <c r="F887" s="390"/>
      <c r="G887" s="390"/>
      <c r="H887" s="390"/>
      <c r="I887" s="123"/>
      <c r="J887" s="603">
        <f t="shared" ref="J887:AA887" si="502">J888</f>
        <v>83578</v>
      </c>
      <c r="K887" s="603">
        <f t="shared" si="502"/>
        <v>0</v>
      </c>
      <c r="L887" s="603">
        <f t="shared" si="502"/>
        <v>0</v>
      </c>
      <c r="M887" s="603">
        <f t="shared" si="502"/>
        <v>83578</v>
      </c>
      <c r="N887" s="603">
        <f t="shared" si="502"/>
        <v>36460</v>
      </c>
      <c r="O887" s="603">
        <f t="shared" si="502"/>
        <v>0</v>
      </c>
      <c r="P887" s="603">
        <f t="shared" si="502"/>
        <v>0</v>
      </c>
      <c r="Q887" s="603">
        <f t="shared" si="502"/>
        <v>36460</v>
      </c>
      <c r="R887" s="603">
        <f t="shared" si="502"/>
        <v>43398</v>
      </c>
      <c r="S887" s="603">
        <f t="shared" si="502"/>
        <v>0</v>
      </c>
      <c r="T887" s="603">
        <f t="shared" si="502"/>
        <v>0</v>
      </c>
      <c r="U887" s="603">
        <f t="shared" si="502"/>
        <v>43398</v>
      </c>
      <c r="V887" s="603">
        <f t="shared" si="502"/>
        <v>40179.800000000003</v>
      </c>
      <c r="W887" s="603">
        <f t="shared" si="502"/>
        <v>39600</v>
      </c>
      <c r="X887" s="603">
        <f t="shared" si="502"/>
        <v>0</v>
      </c>
      <c r="Y887" s="603">
        <f t="shared" si="502"/>
        <v>0</v>
      </c>
      <c r="Z887" s="603">
        <f t="shared" si="502"/>
        <v>39600</v>
      </c>
      <c r="AA887" s="603">
        <f t="shared" si="502"/>
        <v>0</v>
      </c>
      <c r="AB887" s="604"/>
      <c r="AC887" s="380">
        <f t="shared" si="483"/>
        <v>0</v>
      </c>
    </row>
    <row r="888" spans="1:36" s="417" customFormat="1" ht="21" customHeight="1">
      <c r="A888" s="442" t="s">
        <v>1288</v>
      </c>
      <c r="B888" s="443" t="s">
        <v>38</v>
      </c>
      <c r="C888" s="733" t="s">
        <v>974</v>
      </c>
      <c r="D888" s="327"/>
      <c r="E888" s="327"/>
      <c r="F888" s="327"/>
      <c r="G888" s="327"/>
      <c r="H888" s="327"/>
      <c r="I888" s="494"/>
      <c r="J888" s="734">
        <f t="shared" ref="J888:AA888" si="503">J890+J889</f>
        <v>83578</v>
      </c>
      <c r="K888" s="734">
        <f t="shared" si="503"/>
        <v>0</v>
      </c>
      <c r="L888" s="734">
        <f t="shared" si="503"/>
        <v>0</v>
      </c>
      <c r="M888" s="734">
        <f t="shared" si="503"/>
        <v>83578</v>
      </c>
      <c r="N888" s="734">
        <f t="shared" si="503"/>
        <v>36460</v>
      </c>
      <c r="O888" s="734">
        <f t="shared" si="503"/>
        <v>0</v>
      </c>
      <c r="P888" s="734">
        <f t="shared" si="503"/>
        <v>0</v>
      </c>
      <c r="Q888" s="734">
        <f t="shared" si="503"/>
        <v>36460</v>
      </c>
      <c r="R888" s="734">
        <f t="shared" si="503"/>
        <v>43398</v>
      </c>
      <c r="S888" s="734">
        <f t="shared" si="503"/>
        <v>0</v>
      </c>
      <c r="T888" s="734">
        <f t="shared" si="503"/>
        <v>0</v>
      </c>
      <c r="U888" s="734">
        <f t="shared" si="503"/>
        <v>43398</v>
      </c>
      <c r="V888" s="734">
        <f t="shared" si="503"/>
        <v>40179.800000000003</v>
      </c>
      <c r="W888" s="734">
        <f t="shared" si="503"/>
        <v>39600</v>
      </c>
      <c r="X888" s="734">
        <f t="shared" si="503"/>
        <v>0</v>
      </c>
      <c r="Y888" s="734">
        <f t="shared" si="503"/>
        <v>0</v>
      </c>
      <c r="Z888" s="734">
        <f t="shared" si="503"/>
        <v>39600</v>
      </c>
      <c r="AA888" s="734">
        <f t="shared" si="503"/>
        <v>0</v>
      </c>
      <c r="AB888" s="735"/>
      <c r="AC888" s="380">
        <f t="shared" si="483"/>
        <v>0</v>
      </c>
    </row>
    <row r="889" spans="1:36" s="10" customFormat="1" ht="39.75" customHeight="1">
      <c r="A889" s="332" t="s">
        <v>39</v>
      </c>
      <c r="B889" s="326" t="s">
        <v>1254</v>
      </c>
      <c r="C889" s="733" t="s">
        <v>974</v>
      </c>
      <c r="D889" s="554"/>
      <c r="E889" s="332"/>
      <c r="F889" s="471"/>
      <c r="G889" s="471"/>
      <c r="H889" s="332"/>
      <c r="I889" s="471"/>
      <c r="J889" s="331"/>
      <c r="K889" s="331"/>
      <c r="L889" s="331"/>
      <c r="M889" s="331"/>
      <c r="N889" s="331"/>
      <c r="O889" s="331"/>
      <c r="P889" s="331"/>
      <c r="Q889" s="331"/>
      <c r="R889" s="331"/>
      <c r="S889" s="331"/>
      <c r="T889" s="331"/>
      <c r="U889" s="331"/>
      <c r="V889" s="331"/>
      <c r="W889" s="331"/>
      <c r="X889" s="331"/>
      <c r="Y889" s="331"/>
      <c r="Z889" s="331"/>
      <c r="AA889" s="331"/>
      <c r="AB889" s="332"/>
      <c r="AC889" s="380">
        <f t="shared" si="483"/>
        <v>0</v>
      </c>
    </row>
    <row r="890" spans="1:36" s="10" customFormat="1" ht="51.75" customHeight="1">
      <c r="A890" s="327" t="s">
        <v>467</v>
      </c>
      <c r="B890" s="492" t="s">
        <v>56</v>
      </c>
      <c r="C890" s="733" t="s">
        <v>974</v>
      </c>
      <c r="D890" s="330"/>
      <c r="E890" s="330"/>
      <c r="F890" s="330"/>
      <c r="G890" s="330"/>
      <c r="H890" s="330"/>
      <c r="I890" s="329"/>
      <c r="J890" s="605">
        <f t="shared" ref="J890:V890" si="504">SUM(J891:J892)</f>
        <v>83578</v>
      </c>
      <c r="K890" s="605">
        <f t="shared" si="504"/>
        <v>0</v>
      </c>
      <c r="L890" s="605">
        <f t="shared" si="504"/>
        <v>0</v>
      </c>
      <c r="M890" s="605">
        <f t="shared" si="504"/>
        <v>83578</v>
      </c>
      <c r="N890" s="605">
        <f t="shared" si="504"/>
        <v>36460</v>
      </c>
      <c r="O890" s="605">
        <f t="shared" si="504"/>
        <v>0</v>
      </c>
      <c r="P890" s="605">
        <f t="shared" si="504"/>
        <v>0</v>
      </c>
      <c r="Q890" s="605">
        <f t="shared" si="504"/>
        <v>36460</v>
      </c>
      <c r="R890" s="605">
        <f t="shared" si="504"/>
        <v>43398</v>
      </c>
      <c r="S890" s="605">
        <f t="shared" si="504"/>
        <v>0</v>
      </c>
      <c r="T890" s="605">
        <f t="shared" si="504"/>
        <v>0</v>
      </c>
      <c r="U890" s="605">
        <f t="shared" si="504"/>
        <v>43398</v>
      </c>
      <c r="V890" s="605">
        <f t="shared" si="504"/>
        <v>40179.800000000003</v>
      </c>
      <c r="W890" s="605">
        <f>SUM(W891:W892)</f>
        <v>39600</v>
      </c>
      <c r="X890" s="605">
        <f t="shared" ref="X890:AA890" si="505">SUM(X891:X892)</f>
        <v>0</v>
      </c>
      <c r="Y890" s="605">
        <f t="shared" si="505"/>
        <v>0</v>
      </c>
      <c r="Z890" s="605">
        <f t="shared" si="505"/>
        <v>39600</v>
      </c>
      <c r="AA890" s="605">
        <f t="shared" si="505"/>
        <v>0</v>
      </c>
      <c r="AB890" s="606"/>
      <c r="AC890" s="380">
        <f t="shared" si="483"/>
        <v>0</v>
      </c>
    </row>
    <row r="891" spans="1:36" s="7" customFormat="1" ht="72.75" customHeight="1">
      <c r="A891" s="32" t="s">
        <v>144</v>
      </c>
      <c r="B891" s="27" t="s">
        <v>1181</v>
      </c>
      <c r="C891" s="733" t="s">
        <v>974</v>
      </c>
      <c r="D891" s="13">
        <v>8126560</v>
      </c>
      <c r="E891" s="13"/>
      <c r="F891" s="13" t="s">
        <v>1182</v>
      </c>
      <c r="G891" s="13" t="s">
        <v>1183</v>
      </c>
      <c r="H891" s="13" t="s">
        <v>136</v>
      </c>
      <c r="I891" s="13" t="s">
        <v>1184</v>
      </c>
      <c r="J891" s="526">
        <v>29080</v>
      </c>
      <c r="K891" s="526"/>
      <c r="L891" s="526"/>
      <c r="M891" s="526">
        <v>29080</v>
      </c>
      <c r="N891" s="526">
        <v>6625</v>
      </c>
      <c r="O891" s="526"/>
      <c r="P891" s="526"/>
      <c r="Q891" s="526">
        <v>6625</v>
      </c>
      <c r="R891" s="526">
        <v>13500</v>
      </c>
      <c r="S891" s="526"/>
      <c r="T891" s="526"/>
      <c r="U891" s="526">
        <v>13500</v>
      </c>
      <c r="V891" s="526">
        <v>15579.8</v>
      </c>
      <c r="W891" s="526">
        <f>SUM(X891:AA891)</f>
        <v>15000</v>
      </c>
      <c r="X891" s="526"/>
      <c r="Y891" s="526"/>
      <c r="Z891" s="526">
        <v>15000</v>
      </c>
      <c r="AA891" s="526"/>
      <c r="AB891" s="478" t="s">
        <v>1639</v>
      </c>
      <c r="AC891" s="380">
        <f t="shared" si="483"/>
        <v>0</v>
      </c>
      <c r="AJ891" s="7" t="s">
        <v>685</v>
      </c>
    </row>
    <row r="892" spans="1:36" s="7" customFormat="1" ht="72" customHeight="1">
      <c r="A892" s="32" t="s">
        <v>144</v>
      </c>
      <c r="B892" s="27" t="s">
        <v>1185</v>
      </c>
      <c r="C892" s="733" t="s">
        <v>974</v>
      </c>
      <c r="D892" s="13">
        <v>8030181</v>
      </c>
      <c r="E892" s="13"/>
      <c r="F892" s="13" t="s">
        <v>1186</v>
      </c>
      <c r="G892" s="13" t="s">
        <v>1187</v>
      </c>
      <c r="H892" s="13" t="s">
        <v>244</v>
      </c>
      <c r="I892" s="13" t="s">
        <v>1188</v>
      </c>
      <c r="J892" s="526">
        <v>54498</v>
      </c>
      <c r="K892" s="526"/>
      <c r="L892" s="526"/>
      <c r="M892" s="526">
        <v>54498</v>
      </c>
      <c r="N892" s="526">
        <v>29835</v>
      </c>
      <c r="O892" s="526"/>
      <c r="P892" s="526"/>
      <c r="Q892" s="526">
        <v>29835</v>
      </c>
      <c r="R892" s="526">
        <v>29898</v>
      </c>
      <c r="S892" s="526"/>
      <c r="T892" s="526"/>
      <c r="U892" s="526">
        <f>29931-33</f>
        <v>29898</v>
      </c>
      <c r="V892" s="526">
        <v>24600</v>
      </c>
      <c r="W892" s="526">
        <f>SUM(X892:AA892)</f>
        <v>24600</v>
      </c>
      <c r="X892" s="526"/>
      <c r="Y892" s="526"/>
      <c r="Z892" s="526">
        <v>24600</v>
      </c>
      <c r="AA892" s="526"/>
      <c r="AB892" s="478" t="s">
        <v>1622</v>
      </c>
      <c r="AC892" s="380">
        <f t="shared" si="483"/>
        <v>0</v>
      </c>
      <c r="AJ892" s="7" t="s">
        <v>685</v>
      </c>
    </row>
    <row r="893" spans="1:36" s="7" customFormat="1" ht="39.75" customHeight="1">
      <c r="A893" s="389">
        <v>4</v>
      </c>
      <c r="B893" s="441" t="s">
        <v>738</v>
      </c>
      <c r="C893" s="441" t="s">
        <v>738</v>
      </c>
      <c r="D893" s="313"/>
      <c r="E893" s="313"/>
      <c r="F893" s="313"/>
      <c r="G893" s="313"/>
      <c r="H893" s="313"/>
      <c r="I893" s="33"/>
      <c r="J893" s="391">
        <f t="shared" ref="J893:AA893" si="506">J894</f>
        <v>16900</v>
      </c>
      <c r="K893" s="391">
        <f t="shared" si="506"/>
        <v>0</v>
      </c>
      <c r="L893" s="391">
        <f t="shared" si="506"/>
        <v>0</v>
      </c>
      <c r="M893" s="391">
        <f t="shared" si="506"/>
        <v>16900</v>
      </c>
      <c r="N893" s="391">
        <f t="shared" si="506"/>
        <v>6377</v>
      </c>
      <c r="O893" s="391">
        <f t="shared" si="506"/>
        <v>0</v>
      </c>
      <c r="P893" s="391">
        <f t="shared" si="506"/>
        <v>0</v>
      </c>
      <c r="Q893" s="391">
        <f t="shared" si="506"/>
        <v>6377</v>
      </c>
      <c r="R893" s="391">
        <f t="shared" si="506"/>
        <v>5580</v>
      </c>
      <c r="S893" s="391">
        <f t="shared" si="506"/>
        <v>0</v>
      </c>
      <c r="T893" s="391">
        <f t="shared" si="506"/>
        <v>0</v>
      </c>
      <c r="U893" s="391">
        <f t="shared" si="506"/>
        <v>5580</v>
      </c>
      <c r="V893" s="391">
        <f t="shared" si="506"/>
        <v>9623</v>
      </c>
      <c r="W893" s="391">
        <f t="shared" si="506"/>
        <v>9623</v>
      </c>
      <c r="X893" s="391">
        <f t="shared" si="506"/>
        <v>0</v>
      </c>
      <c r="Y893" s="391">
        <f t="shared" si="506"/>
        <v>8000</v>
      </c>
      <c r="Z893" s="391">
        <f t="shared" si="506"/>
        <v>1623</v>
      </c>
      <c r="AA893" s="391">
        <f t="shared" si="506"/>
        <v>0</v>
      </c>
      <c r="AB893" s="392"/>
      <c r="AC893" s="380">
        <f t="shared" si="483"/>
        <v>0</v>
      </c>
    </row>
    <row r="894" spans="1:36" s="417" customFormat="1" ht="27" customHeight="1">
      <c r="A894" s="442" t="s">
        <v>1290</v>
      </c>
      <c r="B894" s="443" t="s">
        <v>38</v>
      </c>
      <c r="C894" s="27" t="s">
        <v>738</v>
      </c>
      <c r="D894" s="327"/>
      <c r="E894" s="327"/>
      <c r="F894" s="327"/>
      <c r="G894" s="327"/>
      <c r="H894" s="327"/>
      <c r="I894" s="494"/>
      <c r="J894" s="395">
        <f t="shared" ref="J894:AA894" si="507">J896+J899+J895</f>
        <v>16900</v>
      </c>
      <c r="K894" s="395">
        <f t="shared" si="507"/>
        <v>0</v>
      </c>
      <c r="L894" s="395">
        <f t="shared" si="507"/>
        <v>0</v>
      </c>
      <c r="M894" s="395">
        <f t="shared" si="507"/>
        <v>16900</v>
      </c>
      <c r="N894" s="395">
        <f t="shared" si="507"/>
        <v>6377</v>
      </c>
      <c r="O894" s="395">
        <f t="shared" si="507"/>
        <v>0</v>
      </c>
      <c r="P894" s="395">
        <f t="shared" si="507"/>
        <v>0</v>
      </c>
      <c r="Q894" s="395">
        <f t="shared" si="507"/>
        <v>6377</v>
      </c>
      <c r="R894" s="395">
        <f t="shared" si="507"/>
        <v>5580</v>
      </c>
      <c r="S894" s="395">
        <f t="shared" si="507"/>
        <v>0</v>
      </c>
      <c r="T894" s="395">
        <f t="shared" si="507"/>
        <v>0</v>
      </c>
      <c r="U894" s="395">
        <f t="shared" si="507"/>
        <v>5580</v>
      </c>
      <c r="V894" s="395">
        <f t="shared" si="507"/>
        <v>9623</v>
      </c>
      <c r="W894" s="395">
        <f t="shared" si="507"/>
        <v>9623</v>
      </c>
      <c r="X894" s="395">
        <f t="shared" si="507"/>
        <v>0</v>
      </c>
      <c r="Y894" s="395">
        <f t="shared" si="507"/>
        <v>8000</v>
      </c>
      <c r="Z894" s="395">
        <f t="shared" si="507"/>
        <v>1623</v>
      </c>
      <c r="AA894" s="395">
        <f t="shared" si="507"/>
        <v>0</v>
      </c>
      <c r="AB894" s="396"/>
      <c r="AC894" s="380">
        <f t="shared" si="483"/>
        <v>0</v>
      </c>
    </row>
    <row r="895" spans="1:36" s="10" customFormat="1" ht="39.75" customHeight="1">
      <c r="A895" s="332" t="s">
        <v>39</v>
      </c>
      <c r="B895" s="326" t="s">
        <v>1254</v>
      </c>
      <c r="C895" s="27" t="s">
        <v>738</v>
      </c>
      <c r="D895" s="554"/>
      <c r="E895" s="332"/>
      <c r="F895" s="471"/>
      <c r="G895" s="471"/>
      <c r="H895" s="332"/>
      <c r="I895" s="471"/>
      <c r="J895" s="331"/>
      <c r="K895" s="331"/>
      <c r="L895" s="331"/>
      <c r="M895" s="331"/>
      <c r="N895" s="331"/>
      <c r="O895" s="331"/>
      <c r="P895" s="331"/>
      <c r="Q895" s="331"/>
      <c r="R895" s="331"/>
      <c r="S895" s="331"/>
      <c r="T895" s="331"/>
      <c r="U895" s="331"/>
      <c r="V895" s="331"/>
      <c r="W895" s="331"/>
      <c r="X895" s="331"/>
      <c r="Y895" s="331"/>
      <c r="Z895" s="331"/>
      <c r="AA895" s="331"/>
      <c r="AB895" s="332"/>
      <c r="AC895" s="380">
        <f t="shared" si="483"/>
        <v>0</v>
      </c>
    </row>
    <row r="896" spans="1:36" s="417" customFormat="1" ht="42.75" customHeight="1">
      <c r="A896" s="327" t="s">
        <v>467</v>
      </c>
      <c r="B896" s="492" t="s">
        <v>56</v>
      </c>
      <c r="C896" s="27" t="s">
        <v>738</v>
      </c>
      <c r="D896" s="327"/>
      <c r="E896" s="327"/>
      <c r="F896" s="327"/>
      <c r="G896" s="327"/>
      <c r="H896" s="327"/>
      <c r="I896" s="494"/>
      <c r="J896" s="331">
        <f t="shared" ref="J896:AA896" si="508">SUM(J897:J898)</f>
        <v>16900</v>
      </c>
      <c r="K896" s="331">
        <f t="shared" si="508"/>
        <v>0</v>
      </c>
      <c r="L896" s="331">
        <f t="shared" si="508"/>
        <v>0</v>
      </c>
      <c r="M896" s="331">
        <f t="shared" si="508"/>
        <v>16900</v>
      </c>
      <c r="N896" s="331">
        <f t="shared" si="508"/>
        <v>6377</v>
      </c>
      <c r="O896" s="331">
        <f t="shared" si="508"/>
        <v>0</v>
      </c>
      <c r="P896" s="331">
        <f t="shared" si="508"/>
        <v>0</v>
      </c>
      <c r="Q896" s="331">
        <f t="shared" si="508"/>
        <v>6377</v>
      </c>
      <c r="R896" s="331">
        <f t="shared" si="508"/>
        <v>5580</v>
      </c>
      <c r="S896" s="331">
        <f t="shared" si="508"/>
        <v>0</v>
      </c>
      <c r="T896" s="331">
        <f t="shared" si="508"/>
        <v>0</v>
      </c>
      <c r="U896" s="331">
        <f t="shared" si="508"/>
        <v>5580</v>
      </c>
      <c r="V896" s="331">
        <f t="shared" si="508"/>
        <v>9623</v>
      </c>
      <c r="W896" s="331">
        <f>SUM(W897:W898)</f>
        <v>9623</v>
      </c>
      <c r="X896" s="331">
        <f t="shared" si="508"/>
        <v>0</v>
      </c>
      <c r="Y896" s="331">
        <f t="shared" si="508"/>
        <v>8000</v>
      </c>
      <c r="Z896" s="331">
        <f t="shared" si="508"/>
        <v>1623</v>
      </c>
      <c r="AA896" s="331">
        <f t="shared" si="508"/>
        <v>0</v>
      </c>
      <c r="AB896" s="332"/>
      <c r="AC896" s="380">
        <f t="shared" si="483"/>
        <v>0</v>
      </c>
    </row>
    <row r="897" spans="1:36" s="8" customFormat="1" ht="75">
      <c r="A897" s="430" t="s">
        <v>144</v>
      </c>
      <c r="B897" s="15" t="s">
        <v>1189</v>
      </c>
      <c r="C897" s="27" t="s">
        <v>738</v>
      </c>
      <c r="D897" s="20">
        <v>7890957</v>
      </c>
      <c r="E897" s="20"/>
      <c r="F897" s="20" t="s">
        <v>994</v>
      </c>
      <c r="G897" s="13" t="s">
        <v>1190</v>
      </c>
      <c r="H897" s="20" t="s">
        <v>127</v>
      </c>
      <c r="I897" s="20" t="s">
        <v>1191</v>
      </c>
      <c r="J897" s="12">
        <v>5000</v>
      </c>
      <c r="K897" s="12"/>
      <c r="L897" s="12"/>
      <c r="M897" s="12">
        <v>5000</v>
      </c>
      <c r="N897" s="12">
        <v>3377</v>
      </c>
      <c r="O897" s="12"/>
      <c r="P897" s="12"/>
      <c r="Q897" s="12">
        <v>3377</v>
      </c>
      <c r="R897" s="12">
        <v>2580</v>
      </c>
      <c r="S897" s="12"/>
      <c r="T897" s="12"/>
      <c r="U897" s="12">
        <v>2580</v>
      </c>
      <c r="V897" s="12">
        <v>1623</v>
      </c>
      <c r="W897" s="12">
        <f>SUM(X897:AA897)</f>
        <v>1623</v>
      </c>
      <c r="X897" s="12"/>
      <c r="Y897" s="12"/>
      <c r="Z897" s="12">
        <v>1623</v>
      </c>
      <c r="AA897" s="12"/>
      <c r="AB897" s="91" t="s">
        <v>1622</v>
      </c>
      <c r="AC897" s="380">
        <f t="shared" si="483"/>
        <v>0</v>
      </c>
      <c r="AJ897" s="8" t="s">
        <v>685</v>
      </c>
    </row>
    <row r="898" spans="1:36" s="8" customFormat="1" ht="41.25" customHeight="1">
      <c r="A898" s="430" t="s">
        <v>144</v>
      </c>
      <c r="B898" s="15" t="s">
        <v>1192</v>
      </c>
      <c r="C898" s="27" t="s">
        <v>738</v>
      </c>
      <c r="D898" s="20">
        <v>7943923</v>
      </c>
      <c r="E898" s="20"/>
      <c r="F898" s="20" t="s">
        <v>994</v>
      </c>
      <c r="G898" s="13" t="s">
        <v>1193</v>
      </c>
      <c r="H898" s="20" t="s">
        <v>370</v>
      </c>
      <c r="I898" s="20" t="s">
        <v>1194</v>
      </c>
      <c r="J898" s="12">
        <v>11900</v>
      </c>
      <c r="K898" s="12"/>
      <c r="L898" s="12"/>
      <c r="M898" s="12">
        <v>11900</v>
      </c>
      <c r="N898" s="12">
        <v>3000</v>
      </c>
      <c r="O898" s="12"/>
      <c r="P898" s="12"/>
      <c r="Q898" s="12">
        <v>3000</v>
      </c>
      <c r="R898" s="12">
        <v>3000</v>
      </c>
      <c r="S898" s="12"/>
      <c r="T898" s="12"/>
      <c r="U898" s="12">
        <v>3000</v>
      </c>
      <c r="V898" s="43">
        <v>8000</v>
      </c>
      <c r="W898" s="12">
        <f>SUM(X898:AA898)</f>
        <v>8000</v>
      </c>
      <c r="X898" s="12"/>
      <c r="Y898" s="12">
        <v>8000</v>
      </c>
      <c r="Z898" s="12"/>
      <c r="AA898" s="12"/>
      <c r="AB898" s="91" t="s">
        <v>1622</v>
      </c>
      <c r="AC898" s="380">
        <f t="shared" si="483"/>
        <v>0</v>
      </c>
      <c r="AJ898" s="8" t="s">
        <v>685</v>
      </c>
    </row>
    <row r="899" spans="1:36" s="417" customFormat="1" ht="19.5" customHeight="1">
      <c r="A899" s="327" t="s">
        <v>1306</v>
      </c>
      <c r="B899" s="413" t="s">
        <v>1307</v>
      </c>
      <c r="C899" s="27" t="s">
        <v>738</v>
      </c>
      <c r="D899" s="327"/>
      <c r="E899" s="327"/>
      <c r="F899" s="327"/>
      <c r="G899" s="327"/>
      <c r="H899" s="327"/>
      <c r="I899" s="494"/>
      <c r="J899" s="605"/>
      <c r="K899" s="605"/>
      <c r="L899" s="605"/>
      <c r="M899" s="605"/>
      <c r="N899" s="605"/>
      <c r="O899" s="605"/>
      <c r="P899" s="605"/>
      <c r="Q899" s="605"/>
      <c r="R899" s="605"/>
      <c r="S899" s="605"/>
      <c r="T899" s="605"/>
      <c r="U899" s="605"/>
      <c r="V899" s="605"/>
      <c r="W899" s="605"/>
      <c r="X899" s="605"/>
      <c r="Y899" s="605"/>
      <c r="Z899" s="605"/>
      <c r="AA899" s="605"/>
      <c r="AB899" s="606"/>
      <c r="AC899" s="380">
        <f t="shared" si="483"/>
        <v>0</v>
      </c>
    </row>
    <row r="900" spans="1:36" s="7" customFormat="1" ht="39.75" customHeight="1">
      <c r="A900" s="389">
        <v>5</v>
      </c>
      <c r="B900" s="441" t="s">
        <v>425</v>
      </c>
      <c r="C900" s="441" t="s">
        <v>425</v>
      </c>
      <c r="D900" s="313"/>
      <c r="E900" s="313"/>
      <c r="F900" s="313"/>
      <c r="G900" s="313"/>
      <c r="H900" s="313"/>
      <c r="I900" s="33"/>
      <c r="J900" s="391">
        <f>+J901</f>
        <v>17014</v>
      </c>
      <c r="K900" s="391">
        <f t="shared" ref="J900:Y902" si="509">+K901</f>
        <v>0</v>
      </c>
      <c r="L900" s="391">
        <f t="shared" si="509"/>
        <v>0</v>
      </c>
      <c r="M900" s="391">
        <f t="shared" si="509"/>
        <v>17014</v>
      </c>
      <c r="N900" s="391">
        <f t="shared" si="509"/>
        <v>4808</v>
      </c>
      <c r="O900" s="391">
        <f t="shared" si="509"/>
        <v>0</v>
      </c>
      <c r="P900" s="391">
        <f t="shared" si="509"/>
        <v>0</v>
      </c>
      <c r="Q900" s="391">
        <f t="shared" si="509"/>
        <v>4808</v>
      </c>
      <c r="R900" s="391">
        <f t="shared" si="509"/>
        <v>4808</v>
      </c>
      <c r="S900" s="391">
        <f t="shared" si="509"/>
        <v>0</v>
      </c>
      <c r="T900" s="391">
        <f t="shared" si="509"/>
        <v>0</v>
      </c>
      <c r="U900" s="391">
        <f t="shared" si="509"/>
        <v>4808</v>
      </c>
      <c r="V900" s="391">
        <f t="shared" si="509"/>
        <v>2757</v>
      </c>
      <c r="W900" s="391">
        <f t="shared" si="509"/>
        <v>2757</v>
      </c>
      <c r="X900" s="391">
        <f t="shared" si="509"/>
        <v>245</v>
      </c>
      <c r="Y900" s="391">
        <f t="shared" si="509"/>
        <v>2512</v>
      </c>
      <c r="Z900" s="391">
        <f t="shared" ref="Z900:AA900" si="510">+Z901</f>
        <v>0</v>
      </c>
      <c r="AA900" s="391">
        <f t="shared" si="510"/>
        <v>0</v>
      </c>
      <c r="AB900" s="392"/>
      <c r="AC900" s="380">
        <f t="shared" si="483"/>
        <v>0</v>
      </c>
    </row>
    <row r="901" spans="1:36" s="417" customFormat="1" ht="39.75" customHeight="1">
      <c r="A901" s="442" t="s">
        <v>1309</v>
      </c>
      <c r="B901" s="443" t="s">
        <v>38</v>
      </c>
      <c r="C901" s="27" t="s">
        <v>425</v>
      </c>
      <c r="D901" s="327"/>
      <c r="E901" s="327"/>
      <c r="F901" s="327"/>
      <c r="G901" s="327"/>
      <c r="H901" s="327"/>
      <c r="I901" s="494"/>
      <c r="J901" s="395">
        <f>+J902+J904</f>
        <v>17014</v>
      </c>
      <c r="K901" s="395">
        <f t="shared" ref="K901:AA901" si="511">+K902+K904</f>
        <v>0</v>
      </c>
      <c r="L901" s="395">
        <f t="shared" si="511"/>
        <v>0</v>
      </c>
      <c r="M901" s="395">
        <f t="shared" si="511"/>
        <v>17014</v>
      </c>
      <c r="N901" s="395">
        <f t="shared" si="511"/>
        <v>4808</v>
      </c>
      <c r="O901" s="395">
        <f t="shared" si="511"/>
        <v>0</v>
      </c>
      <c r="P901" s="395">
        <f t="shared" si="511"/>
        <v>0</v>
      </c>
      <c r="Q901" s="395">
        <f t="shared" si="511"/>
        <v>4808</v>
      </c>
      <c r="R901" s="395">
        <f t="shared" si="511"/>
        <v>4808</v>
      </c>
      <c r="S901" s="395">
        <f t="shared" si="511"/>
        <v>0</v>
      </c>
      <c r="T901" s="395">
        <f t="shared" si="511"/>
        <v>0</v>
      </c>
      <c r="U901" s="395">
        <f t="shared" si="511"/>
        <v>4808</v>
      </c>
      <c r="V901" s="395">
        <f t="shared" si="511"/>
        <v>2757</v>
      </c>
      <c r="W901" s="395">
        <f t="shared" si="511"/>
        <v>2757</v>
      </c>
      <c r="X901" s="395">
        <f t="shared" si="511"/>
        <v>245</v>
      </c>
      <c r="Y901" s="395">
        <f t="shared" si="511"/>
        <v>2512</v>
      </c>
      <c r="Z901" s="395">
        <f t="shared" si="511"/>
        <v>0</v>
      </c>
      <c r="AA901" s="395">
        <f t="shared" si="511"/>
        <v>0</v>
      </c>
      <c r="AB901" s="396"/>
      <c r="AC901" s="380">
        <f t="shared" si="483"/>
        <v>0</v>
      </c>
    </row>
    <row r="902" spans="1:36" s="10" customFormat="1" ht="39.75" customHeight="1">
      <c r="A902" s="332" t="s">
        <v>39</v>
      </c>
      <c r="B902" s="326" t="s">
        <v>1254</v>
      </c>
      <c r="C902" s="27" t="s">
        <v>425</v>
      </c>
      <c r="D902" s="554"/>
      <c r="E902" s="332"/>
      <c r="F902" s="471"/>
      <c r="G902" s="471"/>
      <c r="H902" s="332"/>
      <c r="I902" s="471"/>
      <c r="J902" s="331">
        <f t="shared" si="509"/>
        <v>8063</v>
      </c>
      <c r="K902" s="331">
        <f t="shared" si="509"/>
        <v>0</v>
      </c>
      <c r="L902" s="331">
        <f t="shared" si="509"/>
        <v>0</v>
      </c>
      <c r="M902" s="331">
        <f t="shared" si="509"/>
        <v>8063</v>
      </c>
      <c r="N902" s="331">
        <f t="shared" si="509"/>
        <v>0</v>
      </c>
      <c r="O902" s="331">
        <f t="shared" si="509"/>
        <v>0</v>
      </c>
      <c r="P902" s="331">
        <f t="shared" si="509"/>
        <v>0</v>
      </c>
      <c r="Q902" s="331">
        <f t="shared" si="509"/>
        <v>0</v>
      </c>
      <c r="R902" s="331">
        <f t="shared" si="509"/>
        <v>0</v>
      </c>
      <c r="S902" s="331">
        <f t="shared" si="509"/>
        <v>0</v>
      </c>
      <c r="T902" s="331">
        <f t="shared" si="509"/>
        <v>0</v>
      </c>
      <c r="U902" s="331">
        <f t="shared" si="509"/>
        <v>0</v>
      </c>
      <c r="V902" s="331">
        <f t="shared" si="509"/>
        <v>245</v>
      </c>
      <c r="W902" s="331">
        <f>+W903</f>
        <v>245</v>
      </c>
      <c r="X902" s="331">
        <f t="shared" si="509"/>
        <v>245</v>
      </c>
      <c r="Y902" s="331">
        <f t="shared" si="509"/>
        <v>0</v>
      </c>
      <c r="Z902" s="331">
        <f t="shared" ref="Z902:AA902" si="512">+Z903</f>
        <v>0</v>
      </c>
      <c r="AA902" s="331">
        <f t="shared" si="512"/>
        <v>0</v>
      </c>
      <c r="AB902" s="332"/>
      <c r="AC902" s="380">
        <f t="shared" si="483"/>
        <v>0</v>
      </c>
    </row>
    <row r="903" spans="1:36" s="7" customFormat="1" ht="60" customHeight="1">
      <c r="A903" s="485" t="s">
        <v>144</v>
      </c>
      <c r="B903" s="42" t="s">
        <v>1204</v>
      </c>
      <c r="C903" s="27" t="s">
        <v>425</v>
      </c>
      <c r="D903" s="313"/>
      <c r="E903" s="313"/>
      <c r="F903" s="313"/>
      <c r="G903" s="313"/>
      <c r="H903" s="313"/>
      <c r="I903" s="13" t="s">
        <v>1205</v>
      </c>
      <c r="J903" s="19">
        <v>8063</v>
      </c>
      <c r="K903" s="391"/>
      <c r="L903" s="391"/>
      <c r="M903" s="19">
        <v>8063</v>
      </c>
      <c r="N903" s="391"/>
      <c r="O903" s="391"/>
      <c r="P903" s="391"/>
      <c r="Q903" s="391"/>
      <c r="R903" s="391"/>
      <c r="S903" s="391"/>
      <c r="T903" s="391"/>
      <c r="U903" s="391"/>
      <c r="V903" s="33">
        <v>245</v>
      </c>
      <c r="W903" s="33">
        <f>SUM(X903:AA903)</f>
        <v>245</v>
      </c>
      <c r="X903" s="33">
        <v>245</v>
      </c>
      <c r="Y903" s="33"/>
      <c r="Z903" s="33"/>
      <c r="AA903" s="33"/>
      <c r="AB903" s="13" t="s">
        <v>1303</v>
      </c>
      <c r="AC903" s="380">
        <f t="shared" si="483"/>
        <v>0</v>
      </c>
      <c r="AJ903" s="555" t="s">
        <v>1308</v>
      </c>
    </row>
    <row r="904" spans="1:36" s="417" customFormat="1" ht="60" customHeight="1">
      <c r="A904" s="479" t="s">
        <v>467</v>
      </c>
      <c r="B904" s="400" t="s">
        <v>183</v>
      </c>
      <c r="C904" s="492"/>
      <c r="D904" s="327"/>
      <c r="E904" s="327"/>
      <c r="F904" s="327"/>
      <c r="G904" s="327"/>
      <c r="H904" s="327"/>
      <c r="I904" s="328"/>
      <c r="J904" s="416">
        <f>+J905+J906</f>
        <v>8951</v>
      </c>
      <c r="K904" s="416">
        <f t="shared" ref="K904:AA904" si="513">+K905+K906</f>
        <v>0</v>
      </c>
      <c r="L904" s="416">
        <f t="shared" si="513"/>
        <v>0</v>
      </c>
      <c r="M904" s="416">
        <f t="shared" si="513"/>
        <v>8951</v>
      </c>
      <c r="N904" s="416">
        <f t="shared" si="513"/>
        <v>4808</v>
      </c>
      <c r="O904" s="416">
        <f t="shared" si="513"/>
        <v>0</v>
      </c>
      <c r="P904" s="416">
        <f t="shared" si="513"/>
        <v>0</v>
      </c>
      <c r="Q904" s="416">
        <f t="shared" si="513"/>
        <v>4808</v>
      </c>
      <c r="R904" s="416">
        <f t="shared" si="513"/>
        <v>4808</v>
      </c>
      <c r="S904" s="416">
        <f t="shared" si="513"/>
        <v>0</v>
      </c>
      <c r="T904" s="416">
        <f t="shared" si="513"/>
        <v>0</v>
      </c>
      <c r="U904" s="416">
        <f t="shared" si="513"/>
        <v>4808</v>
      </c>
      <c r="V904" s="416">
        <f t="shared" si="513"/>
        <v>2512</v>
      </c>
      <c r="W904" s="416">
        <f>+W905+W906</f>
        <v>2512</v>
      </c>
      <c r="X904" s="416">
        <f t="shared" si="513"/>
        <v>0</v>
      </c>
      <c r="Y904" s="416">
        <f t="shared" si="513"/>
        <v>2512</v>
      </c>
      <c r="Z904" s="416">
        <f t="shared" si="513"/>
        <v>0</v>
      </c>
      <c r="AA904" s="416">
        <f t="shared" si="513"/>
        <v>0</v>
      </c>
      <c r="AB904" s="328"/>
      <c r="AC904" s="380">
        <f t="shared" si="483"/>
        <v>0</v>
      </c>
    </row>
    <row r="905" spans="1:36" s="7" customFormat="1" ht="60" customHeight="1">
      <c r="A905" s="485" t="s">
        <v>144</v>
      </c>
      <c r="B905" s="688" t="s">
        <v>1813</v>
      </c>
      <c r="C905" s="736"/>
      <c r="D905" s="350">
        <v>8157906</v>
      </c>
      <c r="E905" s="108"/>
      <c r="F905" s="108" t="s">
        <v>1571</v>
      </c>
      <c r="G905" s="108" t="s">
        <v>1814</v>
      </c>
      <c r="H905" s="108" t="s">
        <v>1815</v>
      </c>
      <c r="I905" s="108" t="s">
        <v>1816</v>
      </c>
      <c r="J905" s="113">
        <v>3412</v>
      </c>
      <c r="K905" s="113"/>
      <c r="L905" s="113"/>
      <c r="M905" s="113">
        <f>J905</f>
        <v>3412</v>
      </c>
      <c r="N905" s="113">
        <v>2000</v>
      </c>
      <c r="O905" s="113"/>
      <c r="P905" s="113"/>
      <c r="Q905" s="113">
        <v>2000</v>
      </c>
      <c r="R905" s="113">
        <v>2000</v>
      </c>
      <c r="S905" s="113"/>
      <c r="T905" s="113"/>
      <c r="U905" s="113">
        <f>R905</f>
        <v>2000</v>
      </c>
      <c r="V905" s="113">
        <f>M905-R905</f>
        <v>1412</v>
      </c>
      <c r="W905" s="113">
        <f>V905</f>
        <v>1412</v>
      </c>
      <c r="X905" s="113"/>
      <c r="Y905" s="113">
        <f>W905</f>
        <v>1412</v>
      </c>
      <c r="Z905" s="113"/>
      <c r="AA905" s="113"/>
      <c r="AB905" s="108" t="s">
        <v>1622</v>
      </c>
      <c r="AC905" s="380">
        <f t="shared" si="483"/>
        <v>0</v>
      </c>
      <c r="AJ905" s="7" t="s">
        <v>685</v>
      </c>
    </row>
    <row r="906" spans="1:36" s="7" customFormat="1" ht="60" customHeight="1">
      <c r="A906" s="485" t="s">
        <v>144</v>
      </c>
      <c r="B906" s="688" t="s">
        <v>1817</v>
      </c>
      <c r="C906" s="736"/>
      <c r="D906" s="350">
        <v>8121584</v>
      </c>
      <c r="E906" s="108"/>
      <c r="F906" s="108" t="s">
        <v>674</v>
      </c>
      <c r="G906" s="108" t="s">
        <v>1818</v>
      </c>
      <c r="H906" s="108" t="s">
        <v>429</v>
      </c>
      <c r="I906" s="108" t="s">
        <v>1819</v>
      </c>
      <c r="J906" s="113">
        <v>5539</v>
      </c>
      <c r="K906" s="113"/>
      <c r="L906" s="113"/>
      <c r="M906" s="113">
        <f>J906</f>
        <v>5539</v>
      </c>
      <c r="N906" s="113">
        <v>2808</v>
      </c>
      <c r="O906" s="113"/>
      <c r="P906" s="113"/>
      <c r="Q906" s="113">
        <v>2808</v>
      </c>
      <c r="R906" s="113">
        <v>2808</v>
      </c>
      <c r="S906" s="113"/>
      <c r="T906" s="113"/>
      <c r="U906" s="113">
        <f>R906</f>
        <v>2808</v>
      </c>
      <c r="V906" s="113">
        <v>1100</v>
      </c>
      <c r="W906" s="113">
        <f>V906</f>
        <v>1100</v>
      </c>
      <c r="X906" s="113"/>
      <c r="Y906" s="113">
        <f>W906</f>
        <v>1100</v>
      </c>
      <c r="Z906" s="113"/>
      <c r="AA906" s="113"/>
      <c r="AB906" s="108" t="s">
        <v>1622</v>
      </c>
      <c r="AC906" s="380">
        <f t="shared" si="483"/>
        <v>0</v>
      </c>
      <c r="AJ906" s="7" t="s">
        <v>685</v>
      </c>
    </row>
    <row r="907" spans="1:36" s="231" customFormat="1" ht="40.5" customHeight="1">
      <c r="A907" s="389">
        <v>6</v>
      </c>
      <c r="B907" s="441" t="s">
        <v>203</v>
      </c>
      <c r="C907" s="441" t="s">
        <v>203</v>
      </c>
      <c r="D907" s="451"/>
      <c r="E907" s="451"/>
      <c r="F907" s="451"/>
      <c r="G907" s="451"/>
      <c r="H907" s="451"/>
      <c r="I907" s="452"/>
      <c r="J907" s="391">
        <f t="shared" ref="J907:AA907" si="514">+J908</f>
        <v>491090</v>
      </c>
      <c r="K907" s="391">
        <f t="shared" si="514"/>
        <v>0</v>
      </c>
      <c r="L907" s="391">
        <f t="shared" si="514"/>
        <v>0</v>
      </c>
      <c r="M907" s="391">
        <f t="shared" si="514"/>
        <v>491090</v>
      </c>
      <c r="N907" s="391">
        <f t="shared" si="514"/>
        <v>19911</v>
      </c>
      <c r="O907" s="391">
        <f t="shared" si="514"/>
        <v>0</v>
      </c>
      <c r="P907" s="391">
        <f t="shared" si="514"/>
        <v>0</v>
      </c>
      <c r="Q907" s="391">
        <f t="shared" si="514"/>
        <v>19911</v>
      </c>
      <c r="R907" s="391">
        <f t="shared" si="514"/>
        <v>129013</v>
      </c>
      <c r="S907" s="391">
        <f t="shared" si="514"/>
        <v>0</v>
      </c>
      <c r="T907" s="391">
        <f t="shared" si="514"/>
        <v>0</v>
      </c>
      <c r="U907" s="391">
        <f t="shared" si="514"/>
        <v>129013</v>
      </c>
      <c r="V907" s="391">
        <f t="shared" si="514"/>
        <v>366326</v>
      </c>
      <c r="W907" s="391">
        <f t="shared" si="514"/>
        <v>22382</v>
      </c>
      <c r="X907" s="391">
        <f t="shared" si="514"/>
        <v>100</v>
      </c>
      <c r="Y907" s="391">
        <f t="shared" si="514"/>
        <v>376</v>
      </c>
      <c r="Z907" s="391">
        <f t="shared" si="514"/>
        <v>21906</v>
      </c>
      <c r="AA907" s="391">
        <f t="shared" si="514"/>
        <v>0</v>
      </c>
      <c r="AB907" s="392"/>
      <c r="AC907" s="380">
        <f t="shared" si="483"/>
        <v>0</v>
      </c>
    </row>
    <row r="908" spans="1:36" s="417" customFormat="1" ht="39.75" customHeight="1">
      <c r="A908" s="442" t="s">
        <v>1311</v>
      </c>
      <c r="B908" s="443" t="s">
        <v>38</v>
      </c>
      <c r="C908" s="27" t="s">
        <v>203</v>
      </c>
      <c r="D908" s="327"/>
      <c r="E908" s="327"/>
      <c r="F908" s="327"/>
      <c r="G908" s="327"/>
      <c r="H908" s="327"/>
      <c r="I908" s="494"/>
      <c r="J908" s="395">
        <f>+J909+J911</f>
        <v>491090</v>
      </c>
      <c r="K908" s="395">
        <f t="shared" ref="K908:AA908" si="515">+K909+K911</f>
        <v>0</v>
      </c>
      <c r="L908" s="395">
        <f t="shared" si="515"/>
        <v>0</v>
      </c>
      <c r="M908" s="395">
        <f t="shared" si="515"/>
        <v>491090</v>
      </c>
      <c r="N908" s="395">
        <f t="shared" si="515"/>
        <v>19911</v>
      </c>
      <c r="O908" s="395">
        <f t="shared" si="515"/>
        <v>0</v>
      </c>
      <c r="P908" s="395">
        <f t="shared" si="515"/>
        <v>0</v>
      </c>
      <c r="Q908" s="395">
        <f t="shared" si="515"/>
        <v>19911</v>
      </c>
      <c r="R908" s="395">
        <f t="shared" si="515"/>
        <v>129013</v>
      </c>
      <c r="S908" s="395">
        <f t="shared" si="515"/>
        <v>0</v>
      </c>
      <c r="T908" s="395">
        <f t="shared" si="515"/>
        <v>0</v>
      </c>
      <c r="U908" s="395">
        <f t="shared" si="515"/>
        <v>129013</v>
      </c>
      <c r="V908" s="395">
        <f t="shared" si="515"/>
        <v>366326</v>
      </c>
      <c r="W908" s="395">
        <f>+W909+W911</f>
        <v>22382</v>
      </c>
      <c r="X908" s="395">
        <f t="shared" si="515"/>
        <v>100</v>
      </c>
      <c r="Y908" s="395">
        <f t="shared" si="515"/>
        <v>376</v>
      </c>
      <c r="Z908" s="395">
        <f t="shared" si="515"/>
        <v>21906</v>
      </c>
      <c r="AA908" s="395">
        <f t="shared" si="515"/>
        <v>0</v>
      </c>
      <c r="AB908" s="396"/>
      <c r="AC908" s="380">
        <f t="shared" si="483"/>
        <v>0</v>
      </c>
    </row>
    <row r="909" spans="1:36" s="10" customFormat="1" ht="39.75" customHeight="1">
      <c r="A909" s="332" t="s">
        <v>39</v>
      </c>
      <c r="B909" s="326" t="s">
        <v>1254</v>
      </c>
      <c r="C909" s="27" t="s">
        <v>203</v>
      </c>
      <c r="D909" s="554"/>
      <c r="E909" s="332"/>
      <c r="F909" s="471"/>
      <c r="G909" s="471"/>
      <c r="H909" s="332"/>
      <c r="I909" s="471"/>
      <c r="J909" s="331">
        <f t="shared" ref="J909:AA909" si="516">+J910</f>
        <v>11783</v>
      </c>
      <c r="K909" s="331">
        <f t="shared" si="516"/>
        <v>0</v>
      </c>
      <c r="L909" s="331">
        <f t="shared" si="516"/>
        <v>0</v>
      </c>
      <c r="M909" s="331">
        <f t="shared" si="516"/>
        <v>11783</v>
      </c>
      <c r="N909" s="331">
        <f t="shared" si="516"/>
        <v>9700</v>
      </c>
      <c r="O909" s="331">
        <f t="shared" si="516"/>
        <v>0</v>
      </c>
      <c r="P909" s="331">
        <f t="shared" si="516"/>
        <v>0</v>
      </c>
      <c r="Q909" s="331">
        <f t="shared" si="516"/>
        <v>9700</v>
      </c>
      <c r="R909" s="331">
        <f t="shared" si="516"/>
        <v>9700</v>
      </c>
      <c r="S909" s="331">
        <f t="shared" si="516"/>
        <v>0</v>
      </c>
      <c r="T909" s="331">
        <f t="shared" si="516"/>
        <v>0</v>
      </c>
      <c r="U909" s="331">
        <f t="shared" si="516"/>
        <v>9700</v>
      </c>
      <c r="V909" s="331">
        <f t="shared" si="516"/>
        <v>100</v>
      </c>
      <c r="W909" s="331">
        <f t="shared" si="516"/>
        <v>100</v>
      </c>
      <c r="X909" s="331">
        <f t="shared" si="516"/>
        <v>100</v>
      </c>
      <c r="Y909" s="331">
        <f t="shared" si="516"/>
        <v>0</v>
      </c>
      <c r="Z909" s="331">
        <f t="shared" si="516"/>
        <v>0</v>
      </c>
      <c r="AA909" s="331">
        <f t="shared" si="516"/>
        <v>0</v>
      </c>
      <c r="AB909" s="332"/>
      <c r="AC909" s="380">
        <f t="shared" si="483"/>
        <v>0</v>
      </c>
    </row>
    <row r="910" spans="1:36" s="8" customFormat="1" ht="83.25" customHeight="1">
      <c r="A910" s="430" t="s">
        <v>144</v>
      </c>
      <c r="B910" s="42" t="s">
        <v>412</v>
      </c>
      <c r="C910" s="27" t="s">
        <v>203</v>
      </c>
      <c r="D910" s="45" t="s">
        <v>413</v>
      </c>
      <c r="E910" s="697">
        <v>283</v>
      </c>
      <c r="F910" s="13" t="s">
        <v>395</v>
      </c>
      <c r="G910" s="13"/>
      <c r="H910" s="13" t="s">
        <v>207</v>
      </c>
      <c r="I910" s="719" t="s">
        <v>444</v>
      </c>
      <c r="J910" s="446">
        <v>11783</v>
      </c>
      <c r="K910" s="14"/>
      <c r="L910" s="14"/>
      <c r="M910" s="446">
        <v>11783</v>
      </c>
      <c r="N910" s="12">
        <f>O910+P910+Q910</f>
        <v>9700</v>
      </c>
      <c r="O910" s="14"/>
      <c r="P910" s="14"/>
      <c r="Q910" s="12">
        <v>9700</v>
      </c>
      <c r="R910" s="12">
        <f>S910+T910+U910</f>
        <v>9700</v>
      </c>
      <c r="S910" s="14"/>
      <c r="T910" s="14"/>
      <c r="U910" s="12">
        <v>9700</v>
      </c>
      <c r="V910" s="446">
        <v>100</v>
      </c>
      <c r="W910" s="19">
        <f>SUM(X910:AA910)</f>
        <v>100</v>
      </c>
      <c r="X910" s="19">
        <v>100</v>
      </c>
      <c r="Y910" s="19"/>
      <c r="Z910" s="19"/>
      <c r="AA910" s="19"/>
      <c r="AB910" s="21" t="s">
        <v>1308</v>
      </c>
      <c r="AC910" s="380">
        <f t="shared" si="483"/>
        <v>0</v>
      </c>
      <c r="AJ910" s="555" t="s">
        <v>1308</v>
      </c>
    </row>
    <row r="911" spans="1:36" s="10" customFormat="1" ht="48" customHeight="1">
      <c r="A911" s="397" t="s">
        <v>467</v>
      </c>
      <c r="B911" s="400" t="s">
        <v>183</v>
      </c>
      <c r="C911" s="27" t="s">
        <v>203</v>
      </c>
      <c r="D911" s="435"/>
      <c r="E911" s="435"/>
      <c r="F911" s="328"/>
      <c r="G911" s="646"/>
      <c r="H911" s="328"/>
      <c r="I911" s="328"/>
      <c r="J911" s="436">
        <f>+SUM(J912:J914)</f>
        <v>479307</v>
      </c>
      <c r="K911" s="436">
        <f t="shared" ref="K911:AA911" si="517">+SUM(K912:K914)</f>
        <v>0</v>
      </c>
      <c r="L911" s="436">
        <f t="shared" si="517"/>
        <v>0</v>
      </c>
      <c r="M911" s="436">
        <f t="shared" si="517"/>
        <v>479307</v>
      </c>
      <c r="N911" s="436">
        <f t="shared" si="517"/>
        <v>10211</v>
      </c>
      <c r="O911" s="436">
        <f t="shared" si="517"/>
        <v>0</v>
      </c>
      <c r="P911" s="436">
        <f t="shared" si="517"/>
        <v>0</v>
      </c>
      <c r="Q911" s="436">
        <f t="shared" si="517"/>
        <v>10211</v>
      </c>
      <c r="R911" s="436">
        <f t="shared" si="517"/>
        <v>119313</v>
      </c>
      <c r="S911" s="436">
        <f t="shared" si="517"/>
        <v>0</v>
      </c>
      <c r="T911" s="436">
        <f t="shared" si="517"/>
        <v>0</v>
      </c>
      <c r="U911" s="436">
        <f t="shared" si="517"/>
        <v>119313</v>
      </c>
      <c r="V911" s="436">
        <f t="shared" si="517"/>
        <v>366226</v>
      </c>
      <c r="W911" s="436">
        <f>+SUM(W912:W914)</f>
        <v>22282</v>
      </c>
      <c r="X911" s="436">
        <f t="shared" si="517"/>
        <v>0</v>
      </c>
      <c r="Y911" s="436">
        <f t="shared" si="517"/>
        <v>376</v>
      </c>
      <c r="Z911" s="436">
        <f t="shared" si="517"/>
        <v>21906</v>
      </c>
      <c r="AA911" s="436">
        <f t="shared" si="517"/>
        <v>0</v>
      </c>
      <c r="AB911" s="437"/>
      <c r="AC911" s="380">
        <f t="shared" si="483"/>
        <v>0</v>
      </c>
    </row>
    <row r="912" spans="1:36" s="8" customFormat="1" ht="66.75" customHeight="1">
      <c r="A912" s="430" t="s">
        <v>144</v>
      </c>
      <c r="B912" s="104" t="s">
        <v>406</v>
      </c>
      <c r="C912" s="27" t="s">
        <v>203</v>
      </c>
      <c r="D912" s="349" t="s">
        <v>407</v>
      </c>
      <c r="E912" s="433">
        <v>312</v>
      </c>
      <c r="F912" s="349" t="s">
        <v>395</v>
      </c>
      <c r="G912" s="13"/>
      <c r="H912" s="433" t="s">
        <v>49</v>
      </c>
      <c r="I912" s="710" t="s">
        <v>408</v>
      </c>
      <c r="J912" s="107">
        <v>13601</v>
      </c>
      <c r="K912" s="407"/>
      <c r="L912" s="407"/>
      <c r="M912" s="19">
        <f>J912</f>
        <v>13601</v>
      </c>
      <c r="N912" s="12">
        <f>O912+P912+Q912</f>
        <v>8695</v>
      </c>
      <c r="O912" s="407"/>
      <c r="P912" s="407"/>
      <c r="Q912" s="407">
        <v>8695</v>
      </c>
      <c r="R912" s="12">
        <f>S912+T912+U912</f>
        <v>8695</v>
      </c>
      <c r="S912" s="407"/>
      <c r="T912" s="407"/>
      <c r="U912" s="407">
        <v>8695</v>
      </c>
      <c r="V912" s="19">
        <v>1906</v>
      </c>
      <c r="W912" s="12">
        <f>SUM(X912:AA912)</f>
        <v>1906</v>
      </c>
      <c r="X912" s="12"/>
      <c r="Y912" s="12"/>
      <c r="Z912" s="12">
        <v>1906</v>
      </c>
      <c r="AA912" s="12"/>
      <c r="AB912" s="21" t="s">
        <v>1622</v>
      </c>
      <c r="AC912" s="380">
        <f t="shared" si="483"/>
        <v>0</v>
      </c>
      <c r="AJ912" s="8" t="s">
        <v>685</v>
      </c>
    </row>
    <row r="913" spans="1:36" s="8" customFormat="1" ht="51" customHeight="1">
      <c r="A913" s="430" t="s">
        <v>144</v>
      </c>
      <c r="B913" s="104" t="s">
        <v>409</v>
      </c>
      <c r="C913" s="27" t="s">
        <v>203</v>
      </c>
      <c r="D913" s="349" t="s">
        <v>410</v>
      </c>
      <c r="E913" s="433">
        <v>309</v>
      </c>
      <c r="F913" s="98" t="s">
        <v>217</v>
      </c>
      <c r="G913" s="98"/>
      <c r="H913" s="98" t="s">
        <v>411</v>
      </c>
      <c r="I913" s="98" t="s">
        <v>443</v>
      </c>
      <c r="J913" s="647">
        <v>463944</v>
      </c>
      <c r="K913" s="407"/>
      <c r="L913" s="407"/>
      <c r="M913" s="19">
        <f>J913</f>
        <v>463944</v>
      </c>
      <c r="N913" s="12">
        <f>O913+P913+Q913</f>
        <v>794</v>
      </c>
      <c r="O913" s="407"/>
      <c r="P913" s="407"/>
      <c r="Q913" s="407">
        <v>794</v>
      </c>
      <c r="R913" s="12">
        <f>S913+T913+U913</f>
        <v>109896</v>
      </c>
      <c r="S913" s="407"/>
      <c r="T913" s="407"/>
      <c r="U913" s="12">
        <v>109896</v>
      </c>
      <c r="V913" s="19">
        <v>363944</v>
      </c>
      <c r="W913" s="12">
        <f>SUM(X913:AA913)</f>
        <v>20000</v>
      </c>
      <c r="X913" s="12"/>
      <c r="Y913" s="12"/>
      <c r="Z913" s="12">
        <v>20000</v>
      </c>
      <c r="AA913" s="12"/>
      <c r="AB913" s="91" t="s">
        <v>1639</v>
      </c>
      <c r="AC913" s="380">
        <f t="shared" si="483"/>
        <v>0</v>
      </c>
      <c r="AJ913" s="8" t="s">
        <v>685</v>
      </c>
    </row>
    <row r="914" spans="1:36" s="739" customFormat="1" ht="36" customHeight="1">
      <c r="A914" s="737" t="s">
        <v>144</v>
      </c>
      <c r="B914" s="27" t="s">
        <v>1229</v>
      </c>
      <c r="C914" s="27" t="s">
        <v>203</v>
      </c>
      <c r="D914" s="27">
        <v>8130031</v>
      </c>
      <c r="E914" s="13"/>
      <c r="F914" s="320"/>
      <c r="G914" s="320"/>
      <c r="H914" s="320"/>
      <c r="I914" s="13" t="s">
        <v>1230</v>
      </c>
      <c r="J914" s="43">
        <v>1762</v>
      </c>
      <c r="K914" s="609"/>
      <c r="L914" s="609"/>
      <c r="M914" s="43">
        <v>1762</v>
      </c>
      <c r="N914" s="738">
        <v>722</v>
      </c>
      <c r="O914" s="609"/>
      <c r="P914" s="609"/>
      <c r="Q914" s="738">
        <v>722</v>
      </c>
      <c r="R914" s="738">
        <v>722</v>
      </c>
      <c r="S914" s="609"/>
      <c r="T914" s="609"/>
      <c r="U914" s="738">
        <v>722</v>
      </c>
      <c r="V914" s="19">
        <v>376</v>
      </c>
      <c r="W914" s="27">
        <f>SUM(X914:AA914)</f>
        <v>376</v>
      </c>
      <c r="X914" s="27"/>
      <c r="Y914" s="27">
        <v>376</v>
      </c>
      <c r="Z914" s="27"/>
      <c r="AA914" s="27"/>
      <c r="AB914" s="13" t="s">
        <v>1622</v>
      </c>
      <c r="AC914" s="380">
        <f t="shared" si="483"/>
        <v>0</v>
      </c>
      <c r="AJ914" s="739" t="s">
        <v>685</v>
      </c>
    </row>
    <row r="915" spans="1:36" s="231" customFormat="1" ht="36.75" customHeight="1">
      <c r="A915" s="485">
        <v>7</v>
      </c>
      <c r="B915" s="317" t="s">
        <v>89</v>
      </c>
      <c r="C915" s="317" t="s">
        <v>89</v>
      </c>
      <c r="D915" s="320"/>
      <c r="E915" s="320"/>
      <c r="F915" s="320"/>
      <c r="G915" s="320"/>
      <c r="H915" s="740"/>
      <c r="I915" s="306"/>
      <c r="J915" s="548">
        <f>J916</f>
        <v>400000</v>
      </c>
      <c r="K915" s="548">
        <f t="shared" ref="K915:AA915" si="518">K916</f>
        <v>0</v>
      </c>
      <c r="L915" s="548">
        <f t="shared" si="518"/>
        <v>0</v>
      </c>
      <c r="M915" s="548">
        <f t="shared" si="518"/>
        <v>400000</v>
      </c>
      <c r="N915" s="548">
        <f t="shared" si="518"/>
        <v>289964</v>
      </c>
      <c r="O915" s="548">
        <f t="shared" si="518"/>
        <v>0</v>
      </c>
      <c r="P915" s="548">
        <f t="shared" si="518"/>
        <v>0</v>
      </c>
      <c r="Q915" s="548">
        <f t="shared" si="518"/>
        <v>289964</v>
      </c>
      <c r="R915" s="548">
        <f t="shared" si="518"/>
        <v>337948</v>
      </c>
      <c r="S915" s="548">
        <f t="shared" si="518"/>
        <v>0</v>
      </c>
      <c r="T915" s="548">
        <f t="shared" si="518"/>
        <v>0</v>
      </c>
      <c r="U915" s="548">
        <f t="shared" si="518"/>
        <v>337948</v>
      </c>
      <c r="V915" s="548">
        <f t="shared" si="518"/>
        <v>62053</v>
      </c>
      <c r="W915" s="548">
        <f t="shared" si="518"/>
        <v>61000</v>
      </c>
      <c r="X915" s="548">
        <f t="shared" si="518"/>
        <v>0</v>
      </c>
      <c r="Y915" s="548">
        <f t="shared" si="518"/>
        <v>61000</v>
      </c>
      <c r="Z915" s="548">
        <f t="shared" si="518"/>
        <v>0</v>
      </c>
      <c r="AA915" s="548">
        <f t="shared" si="518"/>
        <v>0</v>
      </c>
      <c r="AB915" s="392"/>
      <c r="AC915" s="380">
        <f t="shared" si="483"/>
        <v>0</v>
      </c>
    </row>
    <row r="916" spans="1:36" s="422" customFormat="1" ht="22.5" customHeight="1">
      <c r="A916" s="486" t="s">
        <v>1312</v>
      </c>
      <c r="B916" s="394" t="s">
        <v>38</v>
      </c>
      <c r="C916" s="15" t="s">
        <v>89</v>
      </c>
      <c r="D916" s="421"/>
      <c r="E916" s="421"/>
      <c r="F916" s="421"/>
      <c r="G916" s="421"/>
      <c r="H916" s="741"/>
      <c r="I916" s="722"/>
      <c r="J916" s="619">
        <f t="shared" ref="J916:AA916" si="519">J918+J917</f>
        <v>400000</v>
      </c>
      <c r="K916" s="619">
        <f t="shared" si="519"/>
        <v>0</v>
      </c>
      <c r="L916" s="619">
        <f t="shared" si="519"/>
        <v>0</v>
      </c>
      <c r="M916" s="619">
        <f t="shared" si="519"/>
        <v>400000</v>
      </c>
      <c r="N916" s="619">
        <f t="shared" si="519"/>
        <v>289964</v>
      </c>
      <c r="O916" s="619">
        <f t="shared" si="519"/>
        <v>0</v>
      </c>
      <c r="P916" s="619">
        <f t="shared" si="519"/>
        <v>0</v>
      </c>
      <c r="Q916" s="619">
        <f t="shared" si="519"/>
        <v>289964</v>
      </c>
      <c r="R916" s="619">
        <f t="shared" si="519"/>
        <v>337948</v>
      </c>
      <c r="S916" s="619">
        <f t="shared" si="519"/>
        <v>0</v>
      </c>
      <c r="T916" s="619">
        <f t="shared" si="519"/>
        <v>0</v>
      </c>
      <c r="U916" s="619">
        <f t="shared" si="519"/>
        <v>337948</v>
      </c>
      <c r="V916" s="619">
        <f t="shared" si="519"/>
        <v>62053</v>
      </c>
      <c r="W916" s="619">
        <f t="shared" si="519"/>
        <v>61000</v>
      </c>
      <c r="X916" s="619">
        <f t="shared" si="519"/>
        <v>0</v>
      </c>
      <c r="Y916" s="619">
        <f t="shared" si="519"/>
        <v>61000</v>
      </c>
      <c r="Z916" s="619">
        <f t="shared" si="519"/>
        <v>0</v>
      </c>
      <c r="AA916" s="619">
        <f t="shared" si="519"/>
        <v>0</v>
      </c>
      <c r="AB916" s="396"/>
      <c r="AC916" s="380">
        <f t="shared" si="483"/>
        <v>0</v>
      </c>
    </row>
    <row r="917" spans="1:36" s="10" customFormat="1" ht="39.75" customHeight="1">
      <c r="A917" s="332" t="s">
        <v>39</v>
      </c>
      <c r="B917" s="326" t="s">
        <v>1254</v>
      </c>
      <c r="C917" s="15" t="s">
        <v>89</v>
      </c>
      <c r="D917" s="554"/>
      <c r="E917" s="332"/>
      <c r="F917" s="471"/>
      <c r="G917" s="471"/>
      <c r="H917" s="332"/>
      <c r="I917" s="471"/>
      <c r="J917" s="331"/>
      <c r="K917" s="331"/>
      <c r="L917" s="331"/>
      <c r="M917" s="331"/>
      <c r="N917" s="331"/>
      <c r="O917" s="331"/>
      <c r="P917" s="331"/>
      <c r="Q917" s="331"/>
      <c r="R917" s="331"/>
      <c r="S917" s="331"/>
      <c r="T917" s="331"/>
      <c r="U917" s="331"/>
      <c r="V917" s="331"/>
      <c r="W917" s="331"/>
      <c r="X917" s="331"/>
      <c r="Y917" s="331"/>
      <c r="Z917" s="331"/>
      <c r="AA917" s="331"/>
      <c r="AB917" s="332"/>
      <c r="AC917" s="380">
        <f t="shared" si="483"/>
        <v>0</v>
      </c>
    </row>
    <row r="918" spans="1:36" s="10" customFormat="1" ht="48.75" customHeight="1">
      <c r="A918" s="479" t="s">
        <v>467</v>
      </c>
      <c r="B918" s="326" t="s">
        <v>56</v>
      </c>
      <c r="C918" s="15" t="s">
        <v>89</v>
      </c>
      <c r="D918" s="328"/>
      <c r="E918" s="328"/>
      <c r="F918" s="328"/>
      <c r="G918" s="328"/>
      <c r="H918" s="618"/>
      <c r="I918" s="473"/>
      <c r="J918" s="416">
        <f t="shared" ref="J918:AA918" si="520">SUM(J919)</f>
        <v>400000</v>
      </c>
      <c r="K918" s="416">
        <f t="shared" si="520"/>
        <v>0</v>
      </c>
      <c r="L918" s="416">
        <f t="shared" si="520"/>
        <v>0</v>
      </c>
      <c r="M918" s="416">
        <f t="shared" si="520"/>
        <v>400000</v>
      </c>
      <c r="N918" s="416">
        <f t="shared" si="520"/>
        <v>289964</v>
      </c>
      <c r="O918" s="416">
        <f t="shared" si="520"/>
        <v>0</v>
      </c>
      <c r="P918" s="416">
        <f t="shared" si="520"/>
        <v>0</v>
      </c>
      <c r="Q918" s="416">
        <f t="shared" si="520"/>
        <v>289964</v>
      </c>
      <c r="R918" s="416">
        <f t="shared" si="520"/>
        <v>337948</v>
      </c>
      <c r="S918" s="416">
        <f t="shared" si="520"/>
        <v>0</v>
      </c>
      <c r="T918" s="416">
        <f t="shared" si="520"/>
        <v>0</v>
      </c>
      <c r="U918" s="416">
        <f t="shared" si="520"/>
        <v>337948</v>
      </c>
      <c r="V918" s="416">
        <f t="shared" si="520"/>
        <v>62053</v>
      </c>
      <c r="W918" s="416">
        <f t="shared" si="520"/>
        <v>61000</v>
      </c>
      <c r="X918" s="416">
        <f t="shared" si="520"/>
        <v>0</v>
      </c>
      <c r="Y918" s="416">
        <f t="shared" si="520"/>
        <v>61000</v>
      </c>
      <c r="Z918" s="416">
        <f t="shared" si="520"/>
        <v>0</v>
      </c>
      <c r="AA918" s="416">
        <f t="shared" si="520"/>
        <v>0</v>
      </c>
      <c r="AB918" s="332"/>
      <c r="AC918" s="380">
        <f t="shared" si="483"/>
        <v>0</v>
      </c>
    </row>
    <row r="919" spans="1:36" s="8" customFormat="1" ht="72" customHeight="1">
      <c r="A919" s="32" t="s">
        <v>144</v>
      </c>
      <c r="B919" s="42" t="s">
        <v>1039</v>
      </c>
      <c r="C919" s="15" t="s">
        <v>89</v>
      </c>
      <c r="D919" s="13">
        <v>7866147</v>
      </c>
      <c r="E919" s="13"/>
      <c r="F919" s="13" t="s">
        <v>92</v>
      </c>
      <c r="G919" s="13" t="s">
        <v>1040</v>
      </c>
      <c r="H919" s="45" t="s">
        <v>73</v>
      </c>
      <c r="I919" s="20" t="s">
        <v>1041</v>
      </c>
      <c r="J919" s="19">
        <v>400000</v>
      </c>
      <c r="K919" s="19"/>
      <c r="L919" s="19"/>
      <c r="M919" s="19">
        <v>400000</v>
      </c>
      <c r="N919" s="19">
        <v>289964</v>
      </c>
      <c r="O919" s="19"/>
      <c r="P919" s="19"/>
      <c r="Q919" s="19">
        <v>289964</v>
      </c>
      <c r="R919" s="19">
        <v>337948</v>
      </c>
      <c r="S919" s="19"/>
      <c r="T919" s="19"/>
      <c r="U919" s="19">
        <v>337948</v>
      </c>
      <c r="V919" s="407">
        <v>62053</v>
      </c>
      <c r="W919" s="19">
        <f>SUM(X919:AA919)</f>
        <v>61000</v>
      </c>
      <c r="X919" s="19"/>
      <c r="Y919" s="19">
        <v>61000</v>
      </c>
      <c r="Z919" s="19"/>
      <c r="AA919" s="19"/>
      <c r="AB919" s="21" t="s">
        <v>1622</v>
      </c>
      <c r="AC919" s="380">
        <f t="shared" si="483"/>
        <v>0</v>
      </c>
      <c r="AJ919" s="8" t="s">
        <v>685</v>
      </c>
    </row>
    <row r="920" spans="1:36" s="231" customFormat="1" ht="38.25" customHeight="1">
      <c r="A920" s="485">
        <v>8</v>
      </c>
      <c r="B920" s="312" t="s">
        <v>55</v>
      </c>
      <c r="C920" s="312" t="s">
        <v>55</v>
      </c>
      <c r="D920" s="320"/>
      <c r="E920" s="320"/>
      <c r="F920" s="320"/>
      <c r="G920" s="320"/>
      <c r="H920" s="740"/>
      <c r="I920" s="306"/>
      <c r="J920" s="548">
        <f t="shared" ref="J920:AA920" si="521">J921</f>
        <v>389492</v>
      </c>
      <c r="K920" s="548">
        <f t="shared" si="521"/>
        <v>0</v>
      </c>
      <c r="L920" s="548">
        <f t="shared" si="521"/>
        <v>304865</v>
      </c>
      <c r="M920" s="548">
        <f t="shared" si="521"/>
        <v>84627</v>
      </c>
      <c r="N920" s="548">
        <f t="shared" si="521"/>
        <v>186320</v>
      </c>
      <c r="O920" s="548">
        <f t="shared" si="521"/>
        <v>0</v>
      </c>
      <c r="P920" s="548">
        <f t="shared" si="521"/>
        <v>161438</v>
      </c>
      <c r="Q920" s="548">
        <f t="shared" si="521"/>
        <v>24882</v>
      </c>
      <c r="R920" s="548">
        <f t="shared" si="521"/>
        <v>186320</v>
      </c>
      <c r="S920" s="548">
        <f t="shared" si="521"/>
        <v>0</v>
      </c>
      <c r="T920" s="548">
        <f t="shared" si="521"/>
        <v>161438</v>
      </c>
      <c r="U920" s="548">
        <f t="shared" si="521"/>
        <v>24882</v>
      </c>
      <c r="V920" s="548">
        <f t="shared" si="521"/>
        <v>3046.7660000000001</v>
      </c>
      <c r="W920" s="548">
        <f t="shared" si="521"/>
        <v>3047</v>
      </c>
      <c r="X920" s="548">
        <f t="shared" si="521"/>
        <v>0</v>
      </c>
      <c r="Y920" s="548">
        <f t="shared" si="521"/>
        <v>0</v>
      </c>
      <c r="Z920" s="548">
        <f t="shared" si="521"/>
        <v>3047</v>
      </c>
      <c r="AA920" s="548">
        <f t="shared" si="521"/>
        <v>0</v>
      </c>
      <c r="AB920" s="392"/>
      <c r="AC920" s="380">
        <f t="shared" si="483"/>
        <v>0</v>
      </c>
    </row>
    <row r="921" spans="1:36" s="422" customFormat="1" ht="24.75" customHeight="1">
      <c r="A921" s="486" t="s">
        <v>1709</v>
      </c>
      <c r="B921" s="617" t="s">
        <v>38</v>
      </c>
      <c r="C921" s="42" t="s">
        <v>55</v>
      </c>
      <c r="D921" s="421"/>
      <c r="E921" s="421"/>
      <c r="F921" s="421"/>
      <c r="G921" s="421"/>
      <c r="H921" s="741"/>
      <c r="I921" s="722"/>
      <c r="J921" s="619">
        <f t="shared" ref="J921:AA921" si="522">J923+J922</f>
        <v>389492</v>
      </c>
      <c r="K921" s="619">
        <f t="shared" si="522"/>
        <v>0</v>
      </c>
      <c r="L921" s="619">
        <f t="shared" si="522"/>
        <v>304865</v>
      </c>
      <c r="M921" s="619">
        <f t="shared" si="522"/>
        <v>84627</v>
      </c>
      <c r="N921" s="619">
        <f t="shared" si="522"/>
        <v>186320</v>
      </c>
      <c r="O921" s="619">
        <f t="shared" si="522"/>
        <v>0</v>
      </c>
      <c r="P921" s="619">
        <f t="shared" si="522"/>
        <v>161438</v>
      </c>
      <c r="Q921" s="619">
        <f t="shared" si="522"/>
        <v>24882</v>
      </c>
      <c r="R921" s="619">
        <f t="shared" si="522"/>
        <v>186320</v>
      </c>
      <c r="S921" s="619">
        <f t="shared" si="522"/>
        <v>0</v>
      </c>
      <c r="T921" s="619">
        <f t="shared" si="522"/>
        <v>161438</v>
      </c>
      <c r="U921" s="619">
        <f t="shared" si="522"/>
        <v>24882</v>
      </c>
      <c r="V921" s="619">
        <f t="shared" si="522"/>
        <v>3046.7660000000001</v>
      </c>
      <c r="W921" s="619">
        <f t="shared" si="522"/>
        <v>3047</v>
      </c>
      <c r="X921" s="619">
        <f t="shared" si="522"/>
        <v>0</v>
      </c>
      <c r="Y921" s="619">
        <f t="shared" si="522"/>
        <v>0</v>
      </c>
      <c r="Z921" s="619">
        <f t="shared" si="522"/>
        <v>3047</v>
      </c>
      <c r="AA921" s="619">
        <f t="shared" si="522"/>
        <v>0</v>
      </c>
      <c r="AB921" s="396"/>
      <c r="AC921" s="380">
        <f t="shared" si="483"/>
        <v>0</v>
      </c>
    </row>
    <row r="922" spans="1:36" s="10" customFormat="1" ht="39.75" customHeight="1">
      <c r="A922" s="332" t="s">
        <v>39</v>
      </c>
      <c r="B922" s="326" t="s">
        <v>1254</v>
      </c>
      <c r="C922" s="42" t="s">
        <v>55</v>
      </c>
      <c r="D922" s="554"/>
      <c r="E922" s="332"/>
      <c r="F922" s="471"/>
      <c r="G922" s="471"/>
      <c r="H922" s="332"/>
      <c r="I922" s="471"/>
      <c r="J922" s="331"/>
      <c r="K922" s="331"/>
      <c r="L922" s="331"/>
      <c r="M922" s="331"/>
      <c r="N922" s="331"/>
      <c r="O922" s="331"/>
      <c r="P922" s="331"/>
      <c r="Q922" s="331"/>
      <c r="R922" s="331"/>
      <c r="S922" s="331"/>
      <c r="T922" s="331"/>
      <c r="U922" s="331"/>
      <c r="V922" s="331"/>
      <c r="W922" s="331"/>
      <c r="X922" s="331"/>
      <c r="Y922" s="331"/>
      <c r="Z922" s="331"/>
      <c r="AA922" s="331"/>
      <c r="AB922" s="332"/>
      <c r="AC922" s="380">
        <f t="shared" ref="AC922:AC989" si="523">+W922-X922-Y922-Z922</f>
        <v>0</v>
      </c>
    </row>
    <row r="923" spans="1:36" s="10" customFormat="1" ht="48" customHeight="1">
      <c r="A923" s="479" t="s">
        <v>467</v>
      </c>
      <c r="B923" s="620" t="s">
        <v>56</v>
      </c>
      <c r="C923" s="42" t="s">
        <v>55</v>
      </c>
      <c r="D923" s="328"/>
      <c r="E923" s="328"/>
      <c r="F923" s="328"/>
      <c r="G923" s="328"/>
      <c r="H923" s="618"/>
      <c r="I923" s="473"/>
      <c r="J923" s="416">
        <f t="shared" ref="J923:AA923" si="524">SUM(J924)</f>
        <v>389492</v>
      </c>
      <c r="K923" s="416">
        <f t="shared" si="524"/>
        <v>0</v>
      </c>
      <c r="L923" s="416">
        <f t="shared" si="524"/>
        <v>304865</v>
      </c>
      <c r="M923" s="416">
        <f t="shared" si="524"/>
        <v>84627</v>
      </c>
      <c r="N923" s="416">
        <f t="shared" si="524"/>
        <v>186320</v>
      </c>
      <c r="O923" s="416">
        <f t="shared" si="524"/>
        <v>0</v>
      </c>
      <c r="P923" s="416">
        <f t="shared" si="524"/>
        <v>161438</v>
      </c>
      <c r="Q923" s="416">
        <f t="shared" si="524"/>
        <v>24882</v>
      </c>
      <c r="R923" s="416">
        <f t="shared" si="524"/>
        <v>186320</v>
      </c>
      <c r="S923" s="416">
        <f t="shared" si="524"/>
        <v>0</v>
      </c>
      <c r="T923" s="416">
        <f t="shared" si="524"/>
        <v>161438</v>
      </c>
      <c r="U923" s="416">
        <f t="shared" si="524"/>
        <v>24882</v>
      </c>
      <c r="V923" s="416">
        <f t="shared" si="524"/>
        <v>3046.7660000000001</v>
      </c>
      <c r="W923" s="416">
        <f t="shared" si="524"/>
        <v>3047</v>
      </c>
      <c r="X923" s="416">
        <f t="shared" si="524"/>
        <v>0</v>
      </c>
      <c r="Y923" s="416">
        <f t="shared" si="524"/>
        <v>0</v>
      </c>
      <c r="Z923" s="416">
        <f t="shared" si="524"/>
        <v>3047</v>
      </c>
      <c r="AA923" s="416">
        <f t="shared" si="524"/>
        <v>0</v>
      </c>
      <c r="AB923" s="332"/>
      <c r="AC923" s="380">
        <f t="shared" si="523"/>
        <v>0</v>
      </c>
    </row>
    <row r="924" spans="1:36" s="8" customFormat="1" ht="81" customHeight="1">
      <c r="A924" s="32" t="s">
        <v>144</v>
      </c>
      <c r="B924" s="42" t="s">
        <v>1042</v>
      </c>
      <c r="C924" s="42" t="s">
        <v>55</v>
      </c>
      <c r="D924" s="13">
        <v>7689237</v>
      </c>
      <c r="E924" s="13"/>
      <c r="F924" s="13" t="s">
        <v>92</v>
      </c>
      <c r="G924" s="13"/>
      <c r="H924" s="45" t="s">
        <v>122</v>
      </c>
      <c r="I924" s="20" t="s">
        <v>1863</v>
      </c>
      <c r="J924" s="19">
        <v>389492</v>
      </c>
      <c r="K924" s="19"/>
      <c r="L924" s="19">
        <v>304865</v>
      </c>
      <c r="M924" s="19">
        <v>84627</v>
      </c>
      <c r="N924" s="19">
        <v>186320</v>
      </c>
      <c r="O924" s="19"/>
      <c r="P924" s="19">
        <v>161438</v>
      </c>
      <c r="Q924" s="19">
        <v>24882</v>
      </c>
      <c r="R924" s="19">
        <v>186320</v>
      </c>
      <c r="S924" s="19"/>
      <c r="T924" s="19">
        <v>161438</v>
      </c>
      <c r="U924" s="19">
        <v>24882</v>
      </c>
      <c r="V924" s="407">
        <v>3046.7660000000001</v>
      </c>
      <c r="W924" s="19">
        <f>SUM(X924:AA924)</f>
        <v>3047</v>
      </c>
      <c r="X924" s="19"/>
      <c r="Y924" s="19"/>
      <c r="Z924" s="19">
        <v>3047</v>
      </c>
      <c r="AA924" s="19"/>
      <c r="AB924" s="21" t="s">
        <v>1622</v>
      </c>
      <c r="AC924" s="380">
        <f t="shared" si="523"/>
        <v>0</v>
      </c>
      <c r="AJ924" s="8" t="s">
        <v>685</v>
      </c>
    </row>
    <row r="925" spans="1:36" s="8" customFormat="1" ht="42.75" customHeight="1">
      <c r="A925" s="485">
        <v>9</v>
      </c>
      <c r="B925" s="312" t="s">
        <v>1024</v>
      </c>
      <c r="C925" s="312" t="s">
        <v>1024</v>
      </c>
      <c r="D925" s="13"/>
      <c r="E925" s="13"/>
      <c r="F925" s="13"/>
      <c r="G925" s="13"/>
      <c r="H925" s="45"/>
      <c r="I925" s="20"/>
      <c r="J925" s="548">
        <f t="shared" ref="J925:AA925" si="525">J926</f>
        <v>30767</v>
      </c>
      <c r="K925" s="548">
        <f t="shared" si="525"/>
        <v>0</v>
      </c>
      <c r="L925" s="548">
        <f t="shared" si="525"/>
        <v>0</v>
      </c>
      <c r="M925" s="548">
        <f t="shared" si="525"/>
        <v>30767</v>
      </c>
      <c r="N925" s="548">
        <f t="shared" si="525"/>
        <v>0</v>
      </c>
      <c r="O925" s="548">
        <f t="shared" si="525"/>
        <v>0</v>
      </c>
      <c r="P925" s="548">
        <f t="shared" si="525"/>
        <v>0</v>
      </c>
      <c r="Q925" s="548">
        <f t="shared" si="525"/>
        <v>0</v>
      </c>
      <c r="R925" s="548">
        <f t="shared" si="525"/>
        <v>15000</v>
      </c>
      <c r="S925" s="548">
        <f t="shared" si="525"/>
        <v>0</v>
      </c>
      <c r="T925" s="548">
        <f t="shared" si="525"/>
        <v>0</v>
      </c>
      <c r="U925" s="548">
        <f t="shared" si="525"/>
        <v>15000</v>
      </c>
      <c r="V925" s="548">
        <f t="shared" si="525"/>
        <v>15767</v>
      </c>
      <c r="W925" s="548">
        <f t="shared" si="525"/>
        <v>15767</v>
      </c>
      <c r="X925" s="548">
        <f t="shared" si="525"/>
        <v>0</v>
      </c>
      <c r="Y925" s="548">
        <f t="shared" si="525"/>
        <v>15767</v>
      </c>
      <c r="Z925" s="548">
        <f t="shared" si="525"/>
        <v>0</v>
      </c>
      <c r="AA925" s="548">
        <f t="shared" si="525"/>
        <v>0</v>
      </c>
      <c r="AB925" s="392"/>
      <c r="AC925" s="380">
        <f t="shared" si="523"/>
        <v>0</v>
      </c>
    </row>
    <row r="926" spans="1:36" s="10" customFormat="1" ht="27.75" customHeight="1">
      <c r="A926" s="486" t="s">
        <v>1332</v>
      </c>
      <c r="B926" s="617" t="s">
        <v>38</v>
      </c>
      <c r="C926" s="42" t="s">
        <v>1024</v>
      </c>
      <c r="D926" s="328"/>
      <c r="E926" s="328"/>
      <c r="F926" s="328"/>
      <c r="G926" s="328"/>
      <c r="H926" s="618"/>
      <c r="I926" s="473"/>
      <c r="J926" s="619">
        <f t="shared" ref="J926:AA926" si="526">J928+J927</f>
        <v>30767</v>
      </c>
      <c r="K926" s="619">
        <f t="shared" si="526"/>
        <v>0</v>
      </c>
      <c r="L926" s="619">
        <f t="shared" si="526"/>
        <v>0</v>
      </c>
      <c r="M926" s="619">
        <f t="shared" si="526"/>
        <v>30767</v>
      </c>
      <c r="N926" s="619">
        <f t="shared" si="526"/>
        <v>0</v>
      </c>
      <c r="O926" s="619">
        <f t="shared" si="526"/>
        <v>0</v>
      </c>
      <c r="P926" s="619">
        <f t="shared" si="526"/>
        <v>0</v>
      </c>
      <c r="Q926" s="619">
        <f t="shared" si="526"/>
        <v>0</v>
      </c>
      <c r="R926" s="619">
        <f t="shared" si="526"/>
        <v>15000</v>
      </c>
      <c r="S926" s="619">
        <f t="shared" si="526"/>
        <v>0</v>
      </c>
      <c r="T926" s="619">
        <f t="shared" si="526"/>
        <v>0</v>
      </c>
      <c r="U926" s="619">
        <f t="shared" si="526"/>
        <v>15000</v>
      </c>
      <c r="V926" s="619">
        <f t="shared" si="526"/>
        <v>15767</v>
      </c>
      <c r="W926" s="619">
        <f t="shared" si="526"/>
        <v>15767</v>
      </c>
      <c r="X926" s="619">
        <f t="shared" si="526"/>
        <v>0</v>
      </c>
      <c r="Y926" s="619">
        <f t="shared" si="526"/>
        <v>15767</v>
      </c>
      <c r="Z926" s="619">
        <f t="shared" si="526"/>
        <v>0</v>
      </c>
      <c r="AA926" s="619">
        <f t="shared" si="526"/>
        <v>0</v>
      </c>
      <c r="AB926" s="396"/>
      <c r="AC926" s="380">
        <f t="shared" si="523"/>
        <v>0</v>
      </c>
    </row>
    <row r="927" spans="1:36" s="10" customFormat="1" ht="39.75" customHeight="1">
      <c r="A927" s="332" t="s">
        <v>39</v>
      </c>
      <c r="B927" s="326" t="s">
        <v>1254</v>
      </c>
      <c r="C927" s="42" t="s">
        <v>1024</v>
      </c>
      <c r="D927" s="554"/>
      <c r="E927" s="332"/>
      <c r="F927" s="471"/>
      <c r="G927" s="471"/>
      <c r="H927" s="332"/>
      <c r="I927" s="471"/>
      <c r="J927" s="331"/>
      <c r="K927" s="331"/>
      <c r="L927" s="331"/>
      <c r="M927" s="331"/>
      <c r="N927" s="331"/>
      <c r="O927" s="331"/>
      <c r="P927" s="331"/>
      <c r="Q927" s="331"/>
      <c r="R927" s="331"/>
      <c r="S927" s="331"/>
      <c r="T927" s="331"/>
      <c r="U927" s="331"/>
      <c r="V927" s="331"/>
      <c r="W927" s="331"/>
      <c r="X927" s="331"/>
      <c r="Y927" s="331"/>
      <c r="Z927" s="331"/>
      <c r="AA927" s="331"/>
      <c r="AB927" s="332"/>
      <c r="AC927" s="380">
        <f t="shared" si="523"/>
        <v>0</v>
      </c>
    </row>
    <row r="928" spans="1:36" s="10" customFormat="1" ht="42.75" customHeight="1">
      <c r="A928" s="479" t="s">
        <v>467</v>
      </c>
      <c r="B928" s="620" t="s">
        <v>56</v>
      </c>
      <c r="C928" s="42" t="s">
        <v>1024</v>
      </c>
      <c r="D928" s="328"/>
      <c r="E928" s="328"/>
      <c r="F928" s="328"/>
      <c r="G928" s="328"/>
      <c r="H928" s="618"/>
      <c r="I928" s="473"/>
      <c r="J928" s="416">
        <f t="shared" ref="J928:AA928" si="527">SUM(J929)</f>
        <v>30767</v>
      </c>
      <c r="K928" s="416">
        <f t="shared" si="527"/>
        <v>0</v>
      </c>
      <c r="L928" s="416">
        <f t="shared" si="527"/>
        <v>0</v>
      </c>
      <c r="M928" s="416">
        <f t="shared" si="527"/>
        <v>30767</v>
      </c>
      <c r="N928" s="416">
        <f t="shared" si="527"/>
        <v>0</v>
      </c>
      <c r="O928" s="416">
        <f t="shared" si="527"/>
        <v>0</v>
      </c>
      <c r="P928" s="416">
        <f t="shared" si="527"/>
        <v>0</v>
      </c>
      <c r="Q928" s="416">
        <f t="shared" si="527"/>
        <v>0</v>
      </c>
      <c r="R928" s="416">
        <f t="shared" si="527"/>
        <v>15000</v>
      </c>
      <c r="S928" s="416">
        <f t="shared" si="527"/>
        <v>0</v>
      </c>
      <c r="T928" s="416">
        <f t="shared" si="527"/>
        <v>0</v>
      </c>
      <c r="U928" s="416">
        <f t="shared" si="527"/>
        <v>15000</v>
      </c>
      <c r="V928" s="416">
        <f t="shared" si="527"/>
        <v>15767</v>
      </c>
      <c r="W928" s="416">
        <f t="shared" si="527"/>
        <v>15767</v>
      </c>
      <c r="X928" s="416">
        <f t="shared" si="527"/>
        <v>0</v>
      </c>
      <c r="Y928" s="416">
        <f t="shared" si="527"/>
        <v>15767</v>
      </c>
      <c r="Z928" s="416">
        <f t="shared" si="527"/>
        <v>0</v>
      </c>
      <c r="AA928" s="416">
        <f t="shared" si="527"/>
        <v>0</v>
      </c>
      <c r="AB928" s="332"/>
      <c r="AC928" s="380">
        <f t="shared" si="523"/>
        <v>0</v>
      </c>
    </row>
    <row r="929" spans="1:43" s="8" customFormat="1" ht="113.25" customHeight="1">
      <c r="A929" s="32" t="s">
        <v>144</v>
      </c>
      <c r="B929" s="42" t="s">
        <v>1044</v>
      </c>
      <c r="C929" s="42" t="s">
        <v>1024</v>
      </c>
      <c r="D929" s="13"/>
      <c r="E929" s="13"/>
      <c r="F929" s="13" t="s">
        <v>1045</v>
      </c>
      <c r="G929" s="13" t="s">
        <v>1046</v>
      </c>
      <c r="H929" s="45" t="s">
        <v>136</v>
      </c>
      <c r="I929" s="20" t="s">
        <v>1047</v>
      </c>
      <c r="J929" s="19">
        <v>30767</v>
      </c>
      <c r="K929" s="19"/>
      <c r="L929" s="19"/>
      <c r="M929" s="19">
        <v>30767</v>
      </c>
      <c r="N929" s="19"/>
      <c r="O929" s="19"/>
      <c r="P929" s="19"/>
      <c r="Q929" s="19"/>
      <c r="R929" s="19">
        <v>15000</v>
      </c>
      <c r="S929" s="19"/>
      <c r="T929" s="19"/>
      <c r="U929" s="19">
        <v>15000</v>
      </c>
      <c r="V929" s="730">
        <v>15767</v>
      </c>
      <c r="W929" s="19">
        <f>SUM(X929:AA929)</f>
        <v>15767</v>
      </c>
      <c r="X929" s="19"/>
      <c r="Y929" s="19">
        <v>15767</v>
      </c>
      <c r="Z929" s="19"/>
      <c r="AA929" s="19"/>
      <c r="AB929" s="21" t="s">
        <v>1622</v>
      </c>
      <c r="AC929" s="380">
        <f t="shared" si="523"/>
        <v>0</v>
      </c>
      <c r="AJ929" s="8" t="s">
        <v>685</v>
      </c>
    </row>
    <row r="930" spans="1:43" s="8" customFormat="1" ht="42.75" customHeight="1">
      <c r="A930" s="485">
        <v>10</v>
      </c>
      <c r="B930" s="312" t="s">
        <v>709</v>
      </c>
      <c r="C930" s="312" t="s">
        <v>709</v>
      </c>
      <c r="D930" s="13"/>
      <c r="E930" s="13"/>
      <c r="F930" s="13"/>
      <c r="G930" s="13"/>
      <c r="H930" s="45"/>
      <c r="I930" s="20"/>
      <c r="J930" s="548">
        <f t="shared" ref="J930:AA930" si="528">J931</f>
        <v>159784</v>
      </c>
      <c r="K930" s="548">
        <f t="shared" si="528"/>
        <v>0</v>
      </c>
      <c r="L930" s="548">
        <f t="shared" si="528"/>
        <v>142003</v>
      </c>
      <c r="M930" s="548">
        <f t="shared" si="528"/>
        <v>17781</v>
      </c>
      <c r="N930" s="548">
        <f t="shared" si="528"/>
        <v>16021</v>
      </c>
      <c r="O930" s="548">
        <f t="shared" si="528"/>
        <v>0</v>
      </c>
      <c r="P930" s="548">
        <f t="shared" si="528"/>
        <v>16021</v>
      </c>
      <c r="Q930" s="548">
        <f t="shared" si="528"/>
        <v>0</v>
      </c>
      <c r="R930" s="548">
        <f t="shared" si="528"/>
        <v>16021</v>
      </c>
      <c r="S930" s="548">
        <f t="shared" si="528"/>
        <v>0</v>
      </c>
      <c r="T930" s="548">
        <f t="shared" si="528"/>
        <v>16021</v>
      </c>
      <c r="U930" s="548">
        <f t="shared" si="528"/>
        <v>0</v>
      </c>
      <c r="V930" s="548">
        <f t="shared" si="528"/>
        <v>27781</v>
      </c>
      <c r="W930" s="548">
        <f t="shared" si="528"/>
        <v>17781</v>
      </c>
      <c r="X930" s="548">
        <f t="shared" si="528"/>
        <v>0</v>
      </c>
      <c r="Y930" s="548">
        <f t="shared" si="528"/>
        <v>0</v>
      </c>
      <c r="Z930" s="548">
        <f t="shared" si="528"/>
        <v>17781</v>
      </c>
      <c r="AA930" s="548">
        <f t="shared" si="528"/>
        <v>0</v>
      </c>
      <c r="AB930" s="392"/>
      <c r="AC930" s="380">
        <f t="shared" si="523"/>
        <v>0</v>
      </c>
    </row>
    <row r="931" spans="1:43" s="10" customFormat="1" ht="27.75" customHeight="1">
      <c r="A931" s="486" t="s">
        <v>1320</v>
      </c>
      <c r="B931" s="617" t="s">
        <v>38</v>
      </c>
      <c r="C931" s="42" t="s">
        <v>709</v>
      </c>
      <c r="D931" s="328"/>
      <c r="E931" s="328"/>
      <c r="F931" s="328"/>
      <c r="G931" s="328"/>
      <c r="H931" s="618"/>
      <c r="I931" s="473"/>
      <c r="J931" s="619">
        <f t="shared" ref="J931:AA931" si="529">J933+J932</f>
        <v>159784</v>
      </c>
      <c r="K931" s="619">
        <f t="shared" si="529"/>
        <v>0</v>
      </c>
      <c r="L931" s="619">
        <f t="shared" si="529"/>
        <v>142003</v>
      </c>
      <c r="M931" s="619">
        <f t="shared" si="529"/>
        <v>17781</v>
      </c>
      <c r="N931" s="619">
        <f t="shared" si="529"/>
        <v>16021</v>
      </c>
      <c r="O931" s="619">
        <f t="shared" si="529"/>
        <v>0</v>
      </c>
      <c r="P931" s="619">
        <f t="shared" si="529"/>
        <v>16021</v>
      </c>
      <c r="Q931" s="619">
        <f t="shared" si="529"/>
        <v>0</v>
      </c>
      <c r="R931" s="619">
        <f t="shared" si="529"/>
        <v>16021</v>
      </c>
      <c r="S931" s="619">
        <f t="shared" si="529"/>
        <v>0</v>
      </c>
      <c r="T931" s="619">
        <f t="shared" si="529"/>
        <v>16021</v>
      </c>
      <c r="U931" s="619">
        <f t="shared" si="529"/>
        <v>0</v>
      </c>
      <c r="V931" s="619">
        <f t="shared" si="529"/>
        <v>27781</v>
      </c>
      <c r="W931" s="619">
        <f t="shared" si="529"/>
        <v>17781</v>
      </c>
      <c r="X931" s="619">
        <f t="shared" si="529"/>
        <v>0</v>
      </c>
      <c r="Y931" s="619">
        <f t="shared" si="529"/>
        <v>0</v>
      </c>
      <c r="Z931" s="619">
        <f t="shared" si="529"/>
        <v>17781</v>
      </c>
      <c r="AA931" s="619">
        <f t="shared" si="529"/>
        <v>0</v>
      </c>
      <c r="AB931" s="396"/>
      <c r="AC931" s="380">
        <f t="shared" si="523"/>
        <v>0</v>
      </c>
    </row>
    <row r="932" spans="1:43" s="10" customFormat="1" ht="39.75" customHeight="1">
      <c r="A932" s="332" t="s">
        <v>39</v>
      </c>
      <c r="B932" s="326" t="s">
        <v>1254</v>
      </c>
      <c r="C932" s="42" t="s">
        <v>709</v>
      </c>
      <c r="D932" s="554"/>
      <c r="E932" s="332"/>
      <c r="F932" s="471"/>
      <c r="G932" s="471"/>
      <c r="H932" s="332"/>
      <c r="I932" s="471"/>
      <c r="J932" s="331"/>
      <c r="K932" s="331"/>
      <c r="L932" s="331"/>
      <c r="M932" s="331"/>
      <c r="N932" s="331"/>
      <c r="O932" s="331"/>
      <c r="P932" s="331"/>
      <c r="Q932" s="331"/>
      <c r="R932" s="331"/>
      <c r="S932" s="331"/>
      <c r="T932" s="331"/>
      <c r="U932" s="331"/>
      <c r="V932" s="331"/>
      <c r="W932" s="331"/>
      <c r="X932" s="331"/>
      <c r="Y932" s="331"/>
      <c r="Z932" s="331"/>
      <c r="AA932" s="331"/>
      <c r="AB932" s="332"/>
      <c r="AC932" s="380">
        <f t="shared" si="523"/>
        <v>0</v>
      </c>
    </row>
    <row r="933" spans="1:43" s="10" customFormat="1" ht="50.25" customHeight="1">
      <c r="A933" s="479" t="s">
        <v>467</v>
      </c>
      <c r="B933" s="620" t="s">
        <v>56</v>
      </c>
      <c r="C933" s="42" t="s">
        <v>709</v>
      </c>
      <c r="D933" s="328"/>
      <c r="E933" s="328"/>
      <c r="F933" s="328"/>
      <c r="G933" s="328"/>
      <c r="H933" s="618"/>
      <c r="I933" s="473"/>
      <c r="J933" s="416">
        <f t="shared" ref="J933:AA933" si="530">+J934</f>
        <v>159784</v>
      </c>
      <c r="K933" s="416">
        <f t="shared" si="530"/>
        <v>0</v>
      </c>
      <c r="L933" s="416">
        <f t="shared" si="530"/>
        <v>142003</v>
      </c>
      <c r="M933" s="416">
        <f t="shared" si="530"/>
        <v>17781</v>
      </c>
      <c r="N933" s="416">
        <f t="shared" si="530"/>
        <v>16021</v>
      </c>
      <c r="O933" s="416">
        <f t="shared" si="530"/>
        <v>0</v>
      </c>
      <c r="P933" s="416">
        <f t="shared" si="530"/>
        <v>16021</v>
      </c>
      <c r="Q933" s="416">
        <f t="shared" si="530"/>
        <v>0</v>
      </c>
      <c r="R933" s="416">
        <f t="shared" si="530"/>
        <v>16021</v>
      </c>
      <c r="S933" s="416">
        <f t="shared" si="530"/>
        <v>0</v>
      </c>
      <c r="T933" s="416">
        <f t="shared" si="530"/>
        <v>16021</v>
      </c>
      <c r="U933" s="416">
        <f t="shared" si="530"/>
        <v>0</v>
      </c>
      <c r="V933" s="416">
        <f t="shared" si="530"/>
        <v>27781</v>
      </c>
      <c r="W933" s="416">
        <f t="shared" si="530"/>
        <v>17781</v>
      </c>
      <c r="X933" s="416">
        <f t="shared" si="530"/>
        <v>0</v>
      </c>
      <c r="Y933" s="416">
        <f t="shared" si="530"/>
        <v>0</v>
      </c>
      <c r="Z933" s="416">
        <f t="shared" si="530"/>
        <v>17781</v>
      </c>
      <c r="AA933" s="416">
        <f t="shared" si="530"/>
        <v>0</v>
      </c>
      <c r="AB933" s="332"/>
      <c r="AC933" s="380">
        <f t="shared" si="523"/>
        <v>0</v>
      </c>
    </row>
    <row r="934" spans="1:43" s="8" customFormat="1" ht="107.25" customHeight="1">
      <c r="A934" s="430" t="s">
        <v>144</v>
      </c>
      <c r="B934" s="15" t="s">
        <v>1237</v>
      </c>
      <c r="C934" s="42" t="s">
        <v>709</v>
      </c>
      <c r="D934" s="20">
        <v>7813127</v>
      </c>
      <c r="E934" s="20">
        <v>285</v>
      </c>
      <c r="F934" s="20" t="s">
        <v>955</v>
      </c>
      <c r="G934" s="13" t="s">
        <v>1238</v>
      </c>
      <c r="H934" s="20" t="s">
        <v>440</v>
      </c>
      <c r="I934" s="20" t="s">
        <v>1239</v>
      </c>
      <c r="J934" s="12">
        <v>159784</v>
      </c>
      <c r="K934" s="12"/>
      <c r="L934" s="12">
        <v>142003</v>
      </c>
      <c r="M934" s="12">
        <v>17781</v>
      </c>
      <c r="N934" s="12">
        <v>16021</v>
      </c>
      <c r="O934" s="12"/>
      <c r="P934" s="12">
        <v>16021</v>
      </c>
      <c r="Q934" s="12"/>
      <c r="R934" s="12">
        <v>16021</v>
      </c>
      <c r="S934" s="12"/>
      <c r="T934" s="12">
        <v>16021</v>
      </c>
      <c r="U934" s="12"/>
      <c r="V934" s="12">
        <v>27781</v>
      </c>
      <c r="W934" s="12">
        <f>SUM(X934:AA934)</f>
        <v>17781</v>
      </c>
      <c r="X934" s="12"/>
      <c r="Y934" s="12"/>
      <c r="Z934" s="12">
        <v>17781</v>
      </c>
      <c r="AA934" s="12"/>
      <c r="AB934" s="91" t="s">
        <v>1639</v>
      </c>
      <c r="AC934" s="380">
        <f t="shared" si="523"/>
        <v>0</v>
      </c>
      <c r="AJ934" s="8" t="s">
        <v>685</v>
      </c>
    </row>
    <row r="935" spans="1:43" s="231" customFormat="1" ht="33" customHeight="1">
      <c r="A935" s="426" t="s">
        <v>1335</v>
      </c>
      <c r="B935" s="317" t="s">
        <v>857</v>
      </c>
      <c r="C935" s="312"/>
      <c r="D935" s="306"/>
      <c r="E935" s="306"/>
      <c r="F935" s="306"/>
      <c r="G935" s="320"/>
      <c r="H935" s="306"/>
      <c r="I935" s="306"/>
      <c r="J935" s="14">
        <f>+J936+J937</f>
        <v>2200</v>
      </c>
      <c r="K935" s="14">
        <f t="shared" ref="K935:AA935" si="531">+K936+K937</f>
        <v>0</v>
      </c>
      <c r="L935" s="14">
        <f t="shared" si="531"/>
        <v>0</v>
      </c>
      <c r="M935" s="14">
        <f t="shared" si="531"/>
        <v>2200</v>
      </c>
      <c r="N935" s="14">
        <f t="shared" si="531"/>
        <v>2200</v>
      </c>
      <c r="O935" s="14">
        <f t="shared" si="531"/>
        <v>0</v>
      </c>
      <c r="P935" s="14">
        <f t="shared" si="531"/>
        <v>0</v>
      </c>
      <c r="Q935" s="14">
        <f t="shared" si="531"/>
        <v>2200</v>
      </c>
      <c r="R935" s="14">
        <f t="shared" si="531"/>
        <v>1500</v>
      </c>
      <c r="S935" s="14">
        <f t="shared" si="531"/>
        <v>0</v>
      </c>
      <c r="T935" s="14">
        <f t="shared" si="531"/>
        <v>0</v>
      </c>
      <c r="U935" s="14">
        <f t="shared" si="531"/>
        <v>1500</v>
      </c>
      <c r="V935" s="14">
        <f t="shared" si="531"/>
        <v>700</v>
      </c>
      <c r="W935" s="14">
        <f t="shared" si="531"/>
        <v>700</v>
      </c>
      <c r="X935" s="14">
        <f t="shared" si="531"/>
        <v>700</v>
      </c>
      <c r="Y935" s="14">
        <f t="shared" si="531"/>
        <v>0</v>
      </c>
      <c r="Z935" s="14">
        <f t="shared" si="531"/>
        <v>0</v>
      </c>
      <c r="AA935" s="14">
        <f t="shared" si="531"/>
        <v>0</v>
      </c>
      <c r="AB935" s="102"/>
      <c r="AC935" s="602"/>
    </row>
    <row r="936" spans="1:43" s="10" customFormat="1" ht="35.25" customHeight="1">
      <c r="A936" s="398" t="s">
        <v>39</v>
      </c>
      <c r="B936" s="326" t="s">
        <v>1254</v>
      </c>
      <c r="C936" s="620"/>
      <c r="D936" s="473"/>
      <c r="E936" s="473"/>
      <c r="F936" s="473"/>
      <c r="G936" s="328"/>
      <c r="H936" s="473"/>
      <c r="I936" s="473"/>
      <c r="J936" s="436"/>
      <c r="K936" s="436"/>
      <c r="L936" s="436"/>
      <c r="M936" s="436"/>
      <c r="N936" s="436"/>
      <c r="O936" s="436"/>
      <c r="P936" s="436"/>
      <c r="Q936" s="436"/>
      <c r="R936" s="436"/>
      <c r="S936" s="436"/>
      <c r="T936" s="436"/>
      <c r="U936" s="436"/>
      <c r="V936" s="436"/>
      <c r="W936" s="436"/>
      <c r="X936" s="436"/>
      <c r="Y936" s="436"/>
      <c r="Z936" s="436"/>
      <c r="AA936" s="436"/>
      <c r="AB936" s="437"/>
      <c r="AC936" s="380">
        <f t="shared" ref="AC936:AC937" si="532">+W936-X936-Y936-Z936</f>
        <v>0</v>
      </c>
    </row>
    <row r="937" spans="1:43" s="10" customFormat="1" ht="35.25" customHeight="1">
      <c r="A937" s="398" t="s">
        <v>467</v>
      </c>
      <c r="B937" s="620" t="s">
        <v>56</v>
      </c>
      <c r="C937" s="620"/>
      <c r="D937" s="473"/>
      <c r="E937" s="473"/>
      <c r="F937" s="473"/>
      <c r="G937" s="328"/>
      <c r="H937" s="473"/>
      <c r="I937" s="473"/>
      <c r="J937" s="436">
        <f>+J938</f>
        <v>2200</v>
      </c>
      <c r="K937" s="436">
        <f t="shared" ref="K937:AA937" si="533">+K938</f>
        <v>0</v>
      </c>
      <c r="L937" s="436">
        <f t="shared" si="533"/>
        <v>0</v>
      </c>
      <c r="M937" s="436">
        <f t="shared" si="533"/>
        <v>2200</v>
      </c>
      <c r="N937" s="436">
        <f t="shared" si="533"/>
        <v>2200</v>
      </c>
      <c r="O937" s="436">
        <f t="shared" si="533"/>
        <v>0</v>
      </c>
      <c r="P937" s="436">
        <f t="shared" si="533"/>
        <v>0</v>
      </c>
      <c r="Q937" s="436">
        <f t="shared" si="533"/>
        <v>2200</v>
      </c>
      <c r="R937" s="436">
        <f t="shared" si="533"/>
        <v>1500</v>
      </c>
      <c r="S937" s="436">
        <f t="shared" si="533"/>
        <v>0</v>
      </c>
      <c r="T937" s="436">
        <f t="shared" si="533"/>
        <v>0</v>
      </c>
      <c r="U937" s="436">
        <f t="shared" si="533"/>
        <v>1500</v>
      </c>
      <c r="V937" s="436">
        <f t="shared" si="533"/>
        <v>700</v>
      </c>
      <c r="W937" s="436">
        <f t="shared" si="533"/>
        <v>700</v>
      </c>
      <c r="X937" s="436">
        <f t="shared" si="533"/>
        <v>700</v>
      </c>
      <c r="Y937" s="436">
        <f t="shared" si="533"/>
        <v>0</v>
      </c>
      <c r="Z937" s="436">
        <f t="shared" si="533"/>
        <v>0</v>
      </c>
      <c r="AA937" s="436">
        <f t="shared" si="533"/>
        <v>0</v>
      </c>
      <c r="AB937" s="436">
        <f>+AB939</f>
        <v>0</v>
      </c>
      <c r="AC937" s="380">
        <f t="shared" si="532"/>
        <v>0</v>
      </c>
    </row>
    <row r="938" spans="1:43" s="7" customFormat="1" ht="82.5" customHeight="1">
      <c r="A938" s="333" t="s">
        <v>144</v>
      </c>
      <c r="B938" s="351" t="s">
        <v>1850</v>
      </c>
      <c r="C938" s="352"/>
      <c r="D938" s="352"/>
      <c r="E938" s="352"/>
      <c r="F938" s="313" t="s">
        <v>859</v>
      </c>
      <c r="G938" s="352"/>
      <c r="H938" s="334" t="s">
        <v>187</v>
      </c>
      <c r="I938" s="353" t="s">
        <v>1851</v>
      </c>
      <c r="J938" s="354">
        <v>2200</v>
      </c>
      <c r="K938" s="354"/>
      <c r="L938" s="354"/>
      <c r="M938" s="354">
        <f>J938</f>
        <v>2200</v>
      </c>
      <c r="N938" s="354">
        <f>M938</f>
        <v>2200</v>
      </c>
      <c r="O938" s="354"/>
      <c r="P938" s="354"/>
      <c r="Q938" s="354">
        <f>N938</f>
        <v>2200</v>
      </c>
      <c r="R938" s="354">
        <v>1500</v>
      </c>
      <c r="S938" s="354"/>
      <c r="T938" s="354"/>
      <c r="U938" s="354">
        <f>R938</f>
        <v>1500</v>
      </c>
      <c r="V938" s="354">
        <f>Q938-R938</f>
        <v>700</v>
      </c>
      <c r="W938" s="354">
        <f>V938</f>
        <v>700</v>
      </c>
      <c r="X938" s="354">
        <f>W938</f>
        <v>700</v>
      </c>
      <c r="Y938" s="354"/>
      <c r="Z938" s="354"/>
      <c r="AA938" s="354"/>
      <c r="AB938" s="354"/>
      <c r="AJ938" s="7" t="s">
        <v>1821</v>
      </c>
      <c r="AP938" s="338"/>
      <c r="AQ938" s="119"/>
    </row>
    <row r="939" spans="1:43" s="231" customFormat="1" ht="35.25" customHeight="1">
      <c r="A939" s="426" t="s">
        <v>1336</v>
      </c>
      <c r="B939" s="317" t="s">
        <v>1714</v>
      </c>
      <c r="C939" s="312"/>
      <c r="D939" s="306"/>
      <c r="E939" s="306"/>
      <c r="F939" s="306"/>
      <c r="G939" s="320"/>
      <c r="H939" s="306"/>
      <c r="I939" s="306"/>
      <c r="J939" s="14">
        <f>+J940+J941</f>
        <v>40000</v>
      </c>
      <c r="K939" s="14">
        <f t="shared" ref="K939:AB939" si="534">+K940+K941</f>
        <v>0</v>
      </c>
      <c r="L939" s="14">
        <f t="shared" si="534"/>
        <v>0</v>
      </c>
      <c r="M939" s="14">
        <f t="shared" si="534"/>
        <v>40000</v>
      </c>
      <c r="N939" s="14">
        <f t="shared" si="534"/>
        <v>0</v>
      </c>
      <c r="O939" s="14">
        <f t="shared" si="534"/>
        <v>0</v>
      </c>
      <c r="P939" s="14">
        <f t="shared" si="534"/>
        <v>0</v>
      </c>
      <c r="Q939" s="14">
        <f t="shared" si="534"/>
        <v>0</v>
      </c>
      <c r="R939" s="14">
        <f t="shared" si="534"/>
        <v>0</v>
      </c>
      <c r="S939" s="14">
        <f t="shared" si="534"/>
        <v>0</v>
      </c>
      <c r="T939" s="14">
        <f t="shared" si="534"/>
        <v>0</v>
      </c>
      <c r="U939" s="14">
        <f t="shared" si="534"/>
        <v>0</v>
      </c>
      <c r="V939" s="14">
        <f t="shared" si="534"/>
        <v>40000</v>
      </c>
      <c r="W939" s="14">
        <f t="shared" si="534"/>
        <v>35000</v>
      </c>
      <c r="X939" s="14">
        <f t="shared" si="534"/>
        <v>35000</v>
      </c>
      <c r="Y939" s="14">
        <f t="shared" si="534"/>
        <v>0</v>
      </c>
      <c r="Z939" s="14">
        <f t="shared" si="534"/>
        <v>0</v>
      </c>
      <c r="AA939" s="14">
        <f t="shared" si="534"/>
        <v>0</v>
      </c>
      <c r="AB939" s="14">
        <f t="shared" si="534"/>
        <v>0</v>
      </c>
      <c r="AC939" s="380">
        <f t="shared" si="523"/>
        <v>0</v>
      </c>
    </row>
    <row r="940" spans="1:43" s="10" customFormat="1" ht="35.25" customHeight="1">
      <c r="A940" s="398" t="s">
        <v>39</v>
      </c>
      <c r="B940" s="326" t="s">
        <v>1254</v>
      </c>
      <c r="C940" s="620"/>
      <c r="D940" s="473"/>
      <c r="E940" s="473"/>
      <c r="F940" s="473"/>
      <c r="G940" s="328"/>
      <c r="H940" s="473"/>
      <c r="I940" s="473"/>
      <c r="J940" s="436"/>
      <c r="K940" s="436"/>
      <c r="L940" s="436"/>
      <c r="M940" s="436"/>
      <c r="N940" s="436"/>
      <c r="O940" s="436"/>
      <c r="P940" s="436"/>
      <c r="Q940" s="436"/>
      <c r="R940" s="436"/>
      <c r="S940" s="436"/>
      <c r="T940" s="436"/>
      <c r="U940" s="436"/>
      <c r="V940" s="436"/>
      <c r="W940" s="436"/>
      <c r="X940" s="436"/>
      <c r="Y940" s="436"/>
      <c r="Z940" s="436"/>
      <c r="AA940" s="436"/>
      <c r="AB940" s="437"/>
      <c r="AC940" s="380">
        <f t="shared" si="523"/>
        <v>0</v>
      </c>
    </row>
    <row r="941" spans="1:43" s="10" customFormat="1" ht="35.25" customHeight="1">
      <c r="A941" s="398" t="s">
        <v>467</v>
      </c>
      <c r="B941" s="620" t="s">
        <v>56</v>
      </c>
      <c r="C941" s="620"/>
      <c r="D941" s="473"/>
      <c r="E941" s="473"/>
      <c r="F941" s="473"/>
      <c r="G941" s="328"/>
      <c r="H941" s="473"/>
      <c r="I941" s="473"/>
      <c r="J941" s="436">
        <f>+J942</f>
        <v>40000</v>
      </c>
      <c r="K941" s="436">
        <f t="shared" ref="K941:AB941" si="535">+K942</f>
        <v>0</v>
      </c>
      <c r="L941" s="436">
        <f t="shared" si="535"/>
        <v>0</v>
      </c>
      <c r="M941" s="436">
        <f t="shared" si="535"/>
        <v>40000</v>
      </c>
      <c r="N941" s="436">
        <f t="shared" si="535"/>
        <v>0</v>
      </c>
      <c r="O941" s="436">
        <f t="shared" si="535"/>
        <v>0</v>
      </c>
      <c r="P941" s="436">
        <f t="shared" si="535"/>
        <v>0</v>
      </c>
      <c r="Q941" s="436">
        <f t="shared" si="535"/>
        <v>0</v>
      </c>
      <c r="R941" s="436">
        <f t="shared" si="535"/>
        <v>0</v>
      </c>
      <c r="S941" s="436">
        <f t="shared" si="535"/>
        <v>0</v>
      </c>
      <c r="T941" s="436">
        <f t="shared" si="535"/>
        <v>0</v>
      </c>
      <c r="U941" s="436">
        <f t="shared" si="535"/>
        <v>0</v>
      </c>
      <c r="V941" s="436">
        <f t="shared" si="535"/>
        <v>40000</v>
      </c>
      <c r="W941" s="436">
        <f t="shared" si="535"/>
        <v>35000</v>
      </c>
      <c r="X941" s="436">
        <f t="shared" si="535"/>
        <v>35000</v>
      </c>
      <c r="Y941" s="436">
        <f t="shared" si="535"/>
        <v>0</v>
      </c>
      <c r="Z941" s="436">
        <f t="shared" si="535"/>
        <v>0</v>
      </c>
      <c r="AA941" s="436">
        <f t="shared" si="535"/>
        <v>0</v>
      </c>
      <c r="AB941" s="436">
        <f t="shared" si="535"/>
        <v>0</v>
      </c>
      <c r="AC941" s="380">
        <f t="shared" si="523"/>
        <v>0</v>
      </c>
    </row>
    <row r="942" spans="1:43" s="7" customFormat="1" ht="73.5" customHeight="1">
      <c r="A942" s="32" t="s">
        <v>144</v>
      </c>
      <c r="B942" s="27" t="s">
        <v>1715</v>
      </c>
      <c r="C942" s="13"/>
      <c r="D942" s="33"/>
      <c r="E942" s="33"/>
      <c r="F942" s="33"/>
      <c r="G942" s="33"/>
      <c r="H942" s="33"/>
      <c r="I942" s="313"/>
      <c r="J942" s="110">
        <v>40000</v>
      </c>
      <c r="K942" s="33"/>
      <c r="L942" s="33"/>
      <c r="M942" s="110">
        <v>40000</v>
      </c>
      <c r="N942" s="33"/>
      <c r="O942" s="33"/>
      <c r="P942" s="33"/>
      <c r="Q942" s="33"/>
      <c r="R942" s="33"/>
      <c r="S942" s="33"/>
      <c r="T942" s="33"/>
      <c r="U942" s="33"/>
      <c r="V942" s="96">
        <v>40000</v>
      </c>
      <c r="W942" s="96">
        <v>35000</v>
      </c>
      <c r="X942" s="96">
        <v>35000</v>
      </c>
      <c r="Y942" s="96"/>
      <c r="Z942" s="96"/>
      <c r="AA942" s="96"/>
      <c r="AB942" s="97"/>
      <c r="AC942" s="380">
        <f t="shared" si="523"/>
        <v>0</v>
      </c>
      <c r="AD942" s="230"/>
      <c r="AJ942" s="7" t="s">
        <v>685</v>
      </c>
    </row>
    <row r="943" spans="1:43" s="388" customFormat="1" ht="30.75" customHeight="1">
      <c r="A943" s="389">
        <v>13</v>
      </c>
      <c r="B943" s="653" t="s">
        <v>124</v>
      </c>
      <c r="C943" s="307"/>
      <c r="D943" s="742"/>
      <c r="E943" s="742"/>
      <c r="F943" s="742"/>
      <c r="G943" s="742"/>
      <c r="H943" s="742"/>
      <c r="I943" s="743"/>
      <c r="J943" s="742"/>
      <c r="K943" s="742"/>
      <c r="L943" s="742"/>
      <c r="M943" s="742"/>
      <c r="N943" s="742"/>
      <c r="O943" s="742"/>
      <c r="P943" s="742"/>
      <c r="Q943" s="742"/>
      <c r="R943" s="742"/>
      <c r="S943" s="742"/>
      <c r="T943" s="742"/>
      <c r="U943" s="742"/>
      <c r="V943" s="742">
        <f>+V944</f>
        <v>2500000</v>
      </c>
      <c r="W943" s="742">
        <f t="shared" ref="W943:Y943" si="536">+W944</f>
        <v>468000</v>
      </c>
      <c r="X943" s="742">
        <f t="shared" si="536"/>
        <v>0</v>
      </c>
      <c r="Y943" s="742">
        <f t="shared" si="536"/>
        <v>468000</v>
      </c>
      <c r="Z943" s="109"/>
      <c r="AA943" s="109"/>
      <c r="AB943" s="743"/>
      <c r="AC943" s="380">
        <f t="shared" si="523"/>
        <v>0</v>
      </c>
    </row>
    <row r="944" spans="1:43" s="744" customFormat="1" ht="30.75" customHeight="1">
      <c r="A944" s="32" t="s">
        <v>144</v>
      </c>
      <c r="B944" s="113" t="s">
        <v>1716</v>
      </c>
      <c r="C944" s="108"/>
      <c r="D944" s="110"/>
      <c r="E944" s="110"/>
      <c r="F944" s="110"/>
      <c r="G944" s="110"/>
      <c r="H944" s="110"/>
      <c r="I944" s="97"/>
      <c r="J944" s="110"/>
      <c r="K944" s="110"/>
      <c r="L944" s="110"/>
      <c r="M944" s="110"/>
      <c r="N944" s="110"/>
      <c r="O944" s="110"/>
      <c r="P944" s="110"/>
      <c r="Q944" s="110"/>
      <c r="R944" s="110"/>
      <c r="S944" s="110"/>
      <c r="T944" s="110"/>
      <c r="U944" s="110"/>
      <c r="V944" s="110">
        <v>2500000</v>
      </c>
      <c r="W944" s="96">
        <v>468000</v>
      </c>
      <c r="X944" s="96"/>
      <c r="Y944" s="96">
        <v>468000</v>
      </c>
      <c r="Z944" s="96"/>
      <c r="AA944" s="96"/>
      <c r="AB944" s="97"/>
      <c r="AC944" s="380">
        <f t="shared" si="523"/>
        <v>0</v>
      </c>
      <c r="AJ944" s="744" t="s">
        <v>1824</v>
      </c>
    </row>
    <row r="945" spans="1:36" s="501" customFormat="1" ht="37.5" customHeight="1">
      <c r="A945" s="389" t="s">
        <v>374</v>
      </c>
      <c r="B945" s="317" t="s">
        <v>388</v>
      </c>
      <c r="C945" s="320"/>
      <c r="D945" s="475"/>
      <c r="E945" s="475"/>
      <c r="F945" s="475"/>
      <c r="G945" s="475"/>
      <c r="H945" s="475"/>
      <c r="I945" s="389"/>
      <c r="J945" s="522">
        <f>+J946+J954+J958+J963+J972+J977</f>
        <v>272422.73884200002</v>
      </c>
      <c r="K945" s="522">
        <f t="shared" ref="K945:V945" si="537">+K946+K954+K958+K963+K972+K977</f>
        <v>0</v>
      </c>
      <c r="L945" s="522">
        <f t="shared" si="537"/>
        <v>0</v>
      </c>
      <c r="M945" s="522">
        <f t="shared" si="537"/>
        <v>272422.73884200002</v>
      </c>
      <c r="N945" s="522">
        <f t="shared" si="537"/>
        <v>161718.58000000002</v>
      </c>
      <c r="O945" s="522">
        <f t="shared" si="537"/>
        <v>0</v>
      </c>
      <c r="P945" s="522">
        <f t="shared" si="537"/>
        <v>0</v>
      </c>
      <c r="Q945" s="522">
        <f t="shared" si="537"/>
        <v>161718.58000000002</v>
      </c>
      <c r="R945" s="522">
        <f t="shared" si="537"/>
        <v>190012.15299999999</v>
      </c>
      <c r="S945" s="522">
        <f t="shared" si="537"/>
        <v>0</v>
      </c>
      <c r="T945" s="522">
        <f t="shared" si="537"/>
        <v>0</v>
      </c>
      <c r="U945" s="522">
        <f t="shared" si="537"/>
        <v>190012.15299999999</v>
      </c>
      <c r="V945" s="522">
        <f t="shared" si="537"/>
        <v>48003.29</v>
      </c>
      <c r="W945" s="522">
        <f>W946+W954+W958+W963+W972+W977</f>
        <v>42292.427000000003</v>
      </c>
      <c r="X945" s="522">
        <f t="shared" ref="X945:AA945" si="538">X946+X954+X958+X963+X972+X977</f>
        <v>129</v>
      </c>
      <c r="Y945" s="522">
        <f t="shared" si="538"/>
        <v>6753.4270000000033</v>
      </c>
      <c r="Z945" s="522">
        <f t="shared" si="538"/>
        <v>35410</v>
      </c>
      <c r="AA945" s="522">
        <f t="shared" si="538"/>
        <v>0</v>
      </c>
      <c r="AB945" s="523"/>
      <c r="AC945" s="380">
        <f t="shared" si="523"/>
        <v>0</v>
      </c>
    </row>
    <row r="946" spans="1:36" s="231" customFormat="1" ht="25.5" customHeight="1">
      <c r="A946" s="389">
        <v>1</v>
      </c>
      <c r="B946" s="317" t="s">
        <v>247</v>
      </c>
      <c r="C946" s="317" t="s">
        <v>247</v>
      </c>
      <c r="D946" s="451"/>
      <c r="E946" s="451"/>
      <c r="F946" s="451"/>
      <c r="G946" s="451"/>
      <c r="H946" s="451"/>
      <c r="I946" s="452"/>
      <c r="J946" s="507">
        <f t="shared" ref="J946:AA946" si="539">+J947</f>
        <v>81475</v>
      </c>
      <c r="K946" s="507">
        <f t="shared" si="539"/>
        <v>0</v>
      </c>
      <c r="L946" s="507">
        <f t="shared" si="539"/>
        <v>0</v>
      </c>
      <c r="M946" s="507">
        <f t="shared" si="539"/>
        <v>81475</v>
      </c>
      <c r="N946" s="507">
        <f t="shared" si="539"/>
        <v>44229</v>
      </c>
      <c r="O946" s="507">
        <f t="shared" si="539"/>
        <v>0</v>
      </c>
      <c r="P946" s="507">
        <f t="shared" si="539"/>
        <v>0</v>
      </c>
      <c r="Q946" s="507">
        <f t="shared" si="539"/>
        <v>44229</v>
      </c>
      <c r="R946" s="507">
        <f t="shared" si="539"/>
        <v>44154</v>
      </c>
      <c r="S946" s="507">
        <f t="shared" si="539"/>
        <v>0</v>
      </c>
      <c r="T946" s="507">
        <f t="shared" si="539"/>
        <v>0</v>
      </c>
      <c r="U946" s="507">
        <f t="shared" si="539"/>
        <v>44154</v>
      </c>
      <c r="V946" s="507">
        <f t="shared" si="539"/>
        <v>7929</v>
      </c>
      <c r="W946" s="507">
        <f t="shared" si="539"/>
        <v>3129</v>
      </c>
      <c r="X946" s="507">
        <f t="shared" si="539"/>
        <v>129</v>
      </c>
      <c r="Y946" s="507">
        <f t="shared" si="539"/>
        <v>3000</v>
      </c>
      <c r="Z946" s="507">
        <f t="shared" si="539"/>
        <v>0</v>
      </c>
      <c r="AA946" s="507">
        <f t="shared" si="539"/>
        <v>0</v>
      </c>
      <c r="AB946" s="502"/>
      <c r="AC946" s="380">
        <f t="shared" si="523"/>
        <v>0</v>
      </c>
    </row>
    <row r="947" spans="1:36" s="422" customFormat="1" ht="25.5" customHeight="1">
      <c r="A947" s="442" t="s">
        <v>1305</v>
      </c>
      <c r="B947" s="394" t="s">
        <v>38</v>
      </c>
      <c r="C947" s="15" t="s">
        <v>247</v>
      </c>
      <c r="D947" s="444"/>
      <c r="E947" s="444"/>
      <c r="F947" s="444"/>
      <c r="G947" s="444"/>
      <c r="H947" s="444"/>
      <c r="I947" s="445"/>
      <c r="J947" s="529">
        <f t="shared" ref="J947:AA947" si="540">+J948+J952</f>
        <v>81475</v>
      </c>
      <c r="K947" s="529">
        <f t="shared" si="540"/>
        <v>0</v>
      </c>
      <c r="L947" s="529">
        <f t="shared" si="540"/>
        <v>0</v>
      </c>
      <c r="M947" s="529">
        <f t="shared" si="540"/>
        <v>81475</v>
      </c>
      <c r="N947" s="529">
        <f t="shared" si="540"/>
        <v>44229</v>
      </c>
      <c r="O947" s="529">
        <f t="shared" si="540"/>
        <v>0</v>
      </c>
      <c r="P947" s="529">
        <f t="shared" si="540"/>
        <v>0</v>
      </c>
      <c r="Q947" s="529">
        <f t="shared" si="540"/>
        <v>44229</v>
      </c>
      <c r="R947" s="529">
        <f t="shared" si="540"/>
        <v>44154</v>
      </c>
      <c r="S947" s="529">
        <f t="shared" si="540"/>
        <v>0</v>
      </c>
      <c r="T947" s="529">
        <f t="shared" si="540"/>
        <v>0</v>
      </c>
      <c r="U947" s="529">
        <f t="shared" si="540"/>
        <v>44154</v>
      </c>
      <c r="V947" s="529">
        <f t="shared" si="540"/>
        <v>7929</v>
      </c>
      <c r="W947" s="529">
        <f t="shared" si="540"/>
        <v>3129</v>
      </c>
      <c r="X947" s="529">
        <f t="shared" si="540"/>
        <v>129</v>
      </c>
      <c r="Y947" s="529">
        <f t="shared" si="540"/>
        <v>3000</v>
      </c>
      <c r="Z947" s="529">
        <f t="shared" si="540"/>
        <v>0</v>
      </c>
      <c r="AA947" s="529">
        <f t="shared" si="540"/>
        <v>0</v>
      </c>
      <c r="AB947" s="530"/>
      <c r="AC947" s="380">
        <f t="shared" si="523"/>
        <v>0</v>
      </c>
    </row>
    <row r="948" spans="1:36" s="10" customFormat="1" ht="39.75" customHeight="1">
      <c r="A948" s="332" t="s">
        <v>39</v>
      </c>
      <c r="B948" s="326" t="s">
        <v>1254</v>
      </c>
      <c r="C948" s="15" t="s">
        <v>247</v>
      </c>
      <c r="D948" s="554"/>
      <c r="E948" s="332"/>
      <c r="F948" s="471"/>
      <c r="G948" s="471"/>
      <c r="H948" s="332"/>
      <c r="I948" s="471"/>
      <c r="J948" s="331">
        <f t="shared" ref="J948:AA948" si="541">+SUM(J949:J951)</f>
        <v>31923</v>
      </c>
      <c r="K948" s="331">
        <f t="shared" si="541"/>
        <v>0</v>
      </c>
      <c r="L948" s="331">
        <f t="shared" si="541"/>
        <v>0</v>
      </c>
      <c r="M948" s="331">
        <f t="shared" si="541"/>
        <v>31923</v>
      </c>
      <c r="N948" s="331">
        <f t="shared" si="541"/>
        <v>29863</v>
      </c>
      <c r="O948" s="331">
        <f t="shared" si="541"/>
        <v>0</v>
      </c>
      <c r="P948" s="331">
        <f t="shared" si="541"/>
        <v>0</v>
      </c>
      <c r="Q948" s="331">
        <f t="shared" si="541"/>
        <v>29863</v>
      </c>
      <c r="R948" s="331">
        <f t="shared" si="541"/>
        <v>29788</v>
      </c>
      <c r="S948" s="331">
        <f t="shared" si="541"/>
        <v>0</v>
      </c>
      <c r="T948" s="331">
        <f t="shared" si="541"/>
        <v>0</v>
      </c>
      <c r="U948" s="331">
        <f t="shared" si="541"/>
        <v>29788</v>
      </c>
      <c r="V948" s="331">
        <f t="shared" si="541"/>
        <v>129</v>
      </c>
      <c r="W948" s="331">
        <f t="shared" si="541"/>
        <v>129</v>
      </c>
      <c r="X948" s="331">
        <f t="shared" si="541"/>
        <v>129</v>
      </c>
      <c r="Y948" s="331">
        <f t="shared" si="541"/>
        <v>0</v>
      </c>
      <c r="Z948" s="331">
        <f t="shared" si="541"/>
        <v>0</v>
      </c>
      <c r="AA948" s="331">
        <f t="shared" si="541"/>
        <v>0</v>
      </c>
      <c r="AB948" s="332"/>
      <c r="AC948" s="380">
        <f t="shared" si="523"/>
        <v>0</v>
      </c>
    </row>
    <row r="949" spans="1:36" s="8" customFormat="1" ht="48" customHeight="1">
      <c r="A949" s="430" t="s">
        <v>144</v>
      </c>
      <c r="B949" s="27" t="s">
        <v>389</v>
      </c>
      <c r="C949" s="15" t="s">
        <v>247</v>
      </c>
      <c r="D949" s="13">
        <v>7888437</v>
      </c>
      <c r="E949" s="13">
        <v>341</v>
      </c>
      <c r="F949" s="13" t="s">
        <v>390</v>
      </c>
      <c r="G949" s="13"/>
      <c r="H949" s="309"/>
      <c r="I949" s="13" t="s">
        <v>391</v>
      </c>
      <c r="J949" s="28">
        <f>SUM(K949:M949)</f>
        <v>16772</v>
      </c>
      <c r="K949" s="28">
        <v>0</v>
      </c>
      <c r="L949" s="28">
        <v>0</v>
      </c>
      <c r="M949" s="399">
        <v>16772</v>
      </c>
      <c r="N949" s="28">
        <f>SUM(O949:Q949)</f>
        <v>15780</v>
      </c>
      <c r="O949" s="28">
        <v>0</v>
      </c>
      <c r="P949" s="28">
        <v>0</v>
      </c>
      <c r="Q949" s="12">
        <v>15780</v>
      </c>
      <c r="R949" s="28">
        <f>SUM(S949:U949)</f>
        <v>15705</v>
      </c>
      <c r="S949" s="28">
        <v>0</v>
      </c>
      <c r="T949" s="28">
        <v>0</v>
      </c>
      <c r="U949" s="12">
        <v>15705</v>
      </c>
      <c r="V949" s="33">
        <v>75</v>
      </c>
      <c r="W949" s="12">
        <f>SUM(X949:AA949)</f>
        <v>75</v>
      </c>
      <c r="X949" s="12">
        <v>75</v>
      </c>
      <c r="Y949" s="12"/>
      <c r="Z949" s="12"/>
      <c r="AA949" s="12"/>
      <c r="AB949" s="91" t="s">
        <v>1308</v>
      </c>
      <c r="AC949" s="380">
        <f t="shared" si="523"/>
        <v>0</v>
      </c>
      <c r="AJ949" s="555" t="s">
        <v>1308</v>
      </c>
    </row>
    <row r="950" spans="1:36" s="8" customFormat="1" ht="59.25" customHeight="1">
      <c r="A950" s="430" t="s">
        <v>144</v>
      </c>
      <c r="B950" s="27" t="s">
        <v>392</v>
      </c>
      <c r="C950" s="15" t="s">
        <v>247</v>
      </c>
      <c r="D950" s="13">
        <v>7890064</v>
      </c>
      <c r="E950" s="13">
        <v>341</v>
      </c>
      <c r="F950" s="13"/>
      <c r="G950" s="13"/>
      <c r="H950" s="309" t="s">
        <v>41</v>
      </c>
      <c r="I950" s="13" t="s">
        <v>393</v>
      </c>
      <c r="J950" s="28">
        <f>SUM(K950:M950)</f>
        <v>12960</v>
      </c>
      <c r="K950" s="28">
        <v>0</v>
      </c>
      <c r="L950" s="28">
        <v>0</v>
      </c>
      <c r="M950" s="399">
        <v>12960</v>
      </c>
      <c r="N950" s="28">
        <f>SUM(O950:Q950)</f>
        <v>12312</v>
      </c>
      <c r="O950" s="28">
        <v>0</v>
      </c>
      <c r="P950" s="28">
        <v>0</v>
      </c>
      <c r="Q950" s="12">
        <v>12312</v>
      </c>
      <c r="R950" s="28">
        <f>SUM(S950:U950)</f>
        <v>12312</v>
      </c>
      <c r="S950" s="28">
        <v>0</v>
      </c>
      <c r="T950" s="28">
        <v>0</v>
      </c>
      <c r="U950" s="12">
        <v>12312</v>
      </c>
      <c r="V950" s="12">
        <v>38</v>
      </c>
      <c r="W950" s="12">
        <f t="shared" ref="W950:W951" si="542">SUM(X950:AA950)</f>
        <v>38</v>
      </c>
      <c r="X950" s="12">
        <v>38</v>
      </c>
      <c r="Y950" s="12"/>
      <c r="Z950" s="12"/>
      <c r="AA950" s="12"/>
      <c r="AB950" s="91" t="s">
        <v>1308</v>
      </c>
      <c r="AC950" s="380">
        <f t="shared" si="523"/>
        <v>0</v>
      </c>
      <c r="AJ950" s="555" t="s">
        <v>1308</v>
      </c>
    </row>
    <row r="951" spans="1:36" s="8" customFormat="1" ht="77.25" customHeight="1">
      <c r="A951" s="430" t="s">
        <v>144</v>
      </c>
      <c r="B951" s="450" t="s">
        <v>394</v>
      </c>
      <c r="C951" s="15" t="s">
        <v>247</v>
      </c>
      <c r="D951" s="13">
        <v>8060300</v>
      </c>
      <c r="E951" s="13">
        <v>351</v>
      </c>
      <c r="F951" s="349" t="s">
        <v>395</v>
      </c>
      <c r="G951" s="13"/>
      <c r="H951" s="433" t="s">
        <v>187</v>
      </c>
      <c r="I951" s="349" t="s">
        <v>396</v>
      </c>
      <c r="J951" s="28">
        <f>SUM(K951:M951)</f>
        <v>2191</v>
      </c>
      <c r="K951" s="28">
        <v>0</v>
      </c>
      <c r="L951" s="28">
        <v>0</v>
      </c>
      <c r="M951" s="407">
        <v>2191</v>
      </c>
      <c r="N951" s="28">
        <f>SUM(O951:Q951)</f>
        <v>1771</v>
      </c>
      <c r="O951" s="28">
        <v>0</v>
      </c>
      <c r="P951" s="28">
        <v>0</v>
      </c>
      <c r="Q951" s="12">
        <v>1771</v>
      </c>
      <c r="R951" s="28">
        <f>SUM(S951:U951)</f>
        <v>1771</v>
      </c>
      <c r="S951" s="28">
        <v>0</v>
      </c>
      <c r="T951" s="28">
        <v>0</v>
      </c>
      <c r="U951" s="28">
        <v>1771</v>
      </c>
      <c r="V951" s="407">
        <v>16</v>
      </c>
      <c r="W951" s="12">
        <f t="shared" si="542"/>
        <v>16</v>
      </c>
      <c r="X951" s="12">
        <v>16</v>
      </c>
      <c r="Y951" s="12"/>
      <c r="Z951" s="12"/>
      <c r="AA951" s="12"/>
      <c r="AB951" s="91" t="s">
        <v>1308</v>
      </c>
      <c r="AC951" s="380">
        <f t="shared" si="523"/>
        <v>0</v>
      </c>
      <c r="AJ951" s="555" t="s">
        <v>1308</v>
      </c>
    </row>
    <row r="952" spans="1:36" s="10" customFormat="1" ht="41.25" customHeight="1">
      <c r="A952" s="397" t="s">
        <v>467</v>
      </c>
      <c r="B952" s="400" t="s">
        <v>183</v>
      </c>
      <c r="C952" s="15" t="s">
        <v>247</v>
      </c>
      <c r="D952" s="423"/>
      <c r="E952" s="423"/>
      <c r="F952" s="328"/>
      <c r="G952" s="328"/>
      <c r="H952" s="328"/>
      <c r="I952" s="328"/>
      <c r="J952" s="508">
        <f t="shared" ref="J952:AA952" si="543">+J953</f>
        <v>49552</v>
      </c>
      <c r="K952" s="508">
        <f t="shared" si="543"/>
        <v>0</v>
      </c>
      <c r="L952" s="508">
        <f t="shared" si="543"/>
        <v>0</v>
      </c>
      <c r="M952" s="508">
        <f t="shared" si="543"/>
        <v>49552</v>
      </c>
      <c r="N952" s="508">
        <f t="shared" si="543"/>
        <v>14366</v>
      </c>
      <c r="O952" s="508">
        <f t="shared" si="543"/>
        <v>0</v>
      </c>
      <c r="P952" s="508">
        <f t="shared" si="543"/>
        <v>0</v>
      </c>
      <c r="Q952" s="508">
        <f t="shared" si="543"/>
        <v>14366</v>
      </c>
      <c r="R952" s="508">
        <f t="shared" si="543"/>
        <v>14366</v>
      </c>
      <c r="S952" s="508">
        <f t="shared" si="543"/>
        <v>0</v>
      </c>
      <c r="T952" s="508">
        <f t="shared" si="543"/>
        <v>0</v>
      </c>
      <c r="U952" s="508">
        <f t="shared" si="543"/>
        <v>14366</v>
      </c>
      <c r="V952" s="508">
        <f t="shared" si="543"/>
        <v>7800</v>
      </c>
      <c r="W952" s="508">
        <f t="shared" si="543"/>
        <v>3000</v>
      </c>
      <c r="X952" s="508">
        <f t="shared" si="543"/>
        <v>0</v>
      </c>
      <c r="Y952" s="508">
        <f t="shared" si="543"/>
        <v>3000</v>
      </c>
      <c r="Z952" s="508">
        <f t="shared" si="543"/>
        <v>0</v>
      </c>
      <c r="AA952" s="508">
        <f t="shared" si="543"/>
        <v>0</v>
      </c>
      <c r="AB952" s="509"/>
      <c r="AC952" s="380">
        <f t="shared" si="523"/>
        <v>0</v>
      </c>
    </row>
    <row r="953" spans="1:36" s="8" customFormat="1" ht="63" customHeight="1">
      <c r="A953" s="430" t="s">
        <v>144</v>
      </c>
      <c r="B953" s="27" t="s">
        <v>397</v>
      </c>
      <c r="C953" s="15" t="s">
        <v>247</v>
      </c>
      <c r="D953" s="13">
        <v>7931831</v>
      </c>
      <c r="E953" s="433">
        <v>351</v>
      </c>
      <c r="F953" s="13" t="s">
        <v>274</v>
      </c>
      <c r="G953" s="11"/>
      <c r="H953" s="13" t="s">
        <v>207</v>
      </c>
      <c r="I953" s="13" t="s">
        <v>398</v>
      </c>
      <c r="J953" s="28">
        <f>SUM(K953:M953)</f>
        <v>49552</v>
      </c>
      <c r="K953" s="28">
        <v>0</v>
      </c>
      <c r="L953" s="28">
        <v>0</v>
      </c>
      <c r="M953" s="399">
        <v>49552</v>
      </c>
      <c r="N953" s="28">
        <f>SUM(O953:Q953)</f>
        <v>14366</v>
      </c>
      <c r="O953" s="28">
        <v>0</v>
      </c>
      <c r="P953" s="28">
        <v>0</v>
      </c>
      <c r="Q953" s="12">
        <v>14366</v>
      </c>
      <c r="R953" s="28">
        <f>SUM(S953:U953)</f>
        <v>14366</v>
      </c>
      <c r="S953" s="28">
        <v>0</v>
      </c>
      <c r="T953" s="28">
        <v>0</v>
      </c>
      <c r="U953" s="12">
        <v>14366</v>
      </c>
      <c r="V953" s="407">
        <v>7800</v>
      </c>
      <c r="W953" s="12">
        <f>SUM(X953:AA953)</f>
        <v>3000</v>
      </c>
      <c r="X953" s="12"/>
      <c r="Y953" s="12">
        <v>3000</v>
      </c>
      <c r="Z953" s="12"/>
      <c r="AA953" s="12"/>
      <c r="AB953" s="21" t="s">
        <v>1622</v>
      </c>
      <c r="AC953" s="380">
        <f t="shared" si="523"/>
        <v>0</v>
      </c>
      <c r="AJ953" s="8" t="s">
        <v>685</v>
      </c>
    </row>
    <row r="954" spans="1:36" s="231" customFormat="1" ht="42.75">
      <c r="A954" s="389">
        <v>2</v>
      </c>
      <c r="B954" s="441" t="s">
        <v>203</v>
      </c>
      <c r="C954" s="441" t="s">
        <v>203</v>
      </c>
      <c r="D954" s="451"/>
      <c r="E954" s="451"/>
      <c r="F954" s="451"/>
      <c r="G954" s="451"/>
      <c r="H954" s="451"/>
      <c r="I954" s="452"/>
      <c r="J954" s="391">
        <f t="shared" ref="J954:Y956" si="544">+J955</f>
        <v>1926</v>
      </c>
      <c r="K954" s="391">
        <f t="shared" si="544"/>
        <v>0</v>
      </c>
      <c r="L954" s="391">
        <f t="shared" si="544"/>
        <v>0</v>
      </c>
      <c r="M954" s="391">
        <f t="shared" si="544"/>
        <v>1926</v>
      </c>
      <c r="N954" s="391">
        <f t="shared" si="544"/>
        <v>1290</v>
      </c>
      <c r="O954" s="391">
        <f t="shared" si="544"/>
        <v>0</v>
      </c>
      <c r="P954" s="391">
        <f t="shared" si="544"/>
        <v>0</v>
      </c>
      <c r="Q954" s="391">
        <f t="shared" si="544"/>
        <v>1290</v>
      </c>
      <c r="R954" s="391">
        <f t="shared" si="544"/>
        <v>1290</v>
      </c>
      <c r="S954" s="391">
        <f t="shared" si="544"/>
        <v>0</v>
      </c>
      <c r="T954" s="391">
        <f t="shared" si="544"/>
        <v>0</v>
      </c>
      <c r="U954" s="391">
        <f t="shared" si="544"/>
        <v>1290</v>
      </c>
      <c r="V954" s="391">
        <f t="shared" si="544"/>
        <v>392</v>
      </c>
      <c r="W954" s="391">
        <f t="shared" si="544"/>
        <v>392</v>
      </c>
      <c r="X954" s="391">
        <f t="shared" si="544"/>
        <v>0</v>
      </c>
      <c r="Y954" s="391">
        <f t="shared" si="544"/>
        <v>392</v>
      </c>
      <c r="Z954" s="391">
        <f t="shared" ref="Z954:AA954" si="545">+Z955</f>
        <v>0</v>
      </c>
      <c r="AA954" s="391">
        <f t="shared" si="545"/>
        <v>0</v>
      </c>
      <c r="AB954" s="392"/>
      <c r="AC954" s="380">
        <f t="shared" si="523"/>
        <v>0</v>
      </c>
    </row>
    <row r="955" spans="1:36" s="422" customFormat="1" ht="26.25" customHeight="1">
      <c r="A955" s="442" t="s">
        <v>1287</v>
      </c>
      <c r="B955" s="443" t="s">
        <v>38</v>
      </c>
      <c r="C955" s="27" t="s">
        <v>203</v>
      </c>
      <c r="D955" s="444"/>
      <c r="E955" s="444"/>
      <c r="F955" s="444"/>
      <c r="G955" s="444"/>
      <c r="H955" s="444"/>
      <c r="I955" s="445"/>
      <c r="J955" s="395">
        <f t="shared" si="544"/>
        <v>1926</v>
      </c>
      <c r="K955" s="395">
        <f t="shared" si="544"/>
        <v>0</v>
      </c>
      <c r="L955" s="395">
        <f t="shared" si="544"/>
        <v>0</v>
      </c>
      <c r="M955" s="395">
        <f t="shared" si="544"/>
        <v>1926</v>
      </c>
      <c r="N955" s="395">
        <f t="shared" si="544"/>
        <v>1290</v>
      </c>
      <c r="O955" s="395">
        <f t="shared" si="544"/>
        <v>0</v>
      </c>
      <c r="P955" s="395">
        <f t="shared" si="544"/>
        <v>0</v>
      </c>
      <c r="Q955" s="395">
        <f t="shared" si="544"/>
        <v>1290</v>
      </c>
      <c r="R955" s="395">
        <f t="shared" si="544"/>
        <v>1290</v>
      </c>
      <c r="S955" s="395">
        <f t="shared" si="544"/>
        <v>0</v>
      </c>
      <c r="T955" s="395">
        <f t="shared" si="544"/>
        <v>0</v>
      </c>
      <c r="U955" s="395">
        <f t="shared" si="544"/>
        <v>1290</v>
      </c>
      <c r="V955" s="395">
        <f t="shared" si="544"/>
        <v>392</v>
      </c>
      <c r="W955" s="395">
        <f t="shared" si="544"/>
        <v>392</v>
      </c>
      <c r="X955" s="395">
        <f t="shared" si="544"/>
        <v>0</v>
      </c>
      <c r="Y955" s="395">
        <f t="shared" si="544"/>
        <v>392</v>
      </c>
      <c r="Z955" s="395">
        <f t="shared" ref="Z955:AA955" si="546">+Z956</f>
        <v>0</v>
      </c>
      <c r="AA955" s="395">
        <f t="shared" si="546"/>
        <v>0</v>
      </c>
      <c r="AB955" s="396"/>
      <c r="AC955" s="380">
        <f t="shared" si="523"/>
        <v>0</v>
      </c>
    </row>
    <row r="956" spans="1:36" s="10" customFormat="1" ht="39.75" customHeight="1">
      <c r="A956" s="332" t="s">
        <v>39</v>
      </c>
      <c r="B956" s="326" t="s">
        <v>1254</v>
      </c>
      <c r="C956" s="27" t="s">
        <v>203</v>
      </c>
      <c r="D956" s="554"/>
      <c r="E956" s="332"/>
      <c r="F956" s="471"/>
      <c r="G956" s="471"/>
      <c r="H956" s="332"/>
      <c r="I956" s="471"/>
      <c r="J956" s="331">
        <f t="shared" si="544"/>
        <v>1926</v>
      </c>
      <c r="K956" s="331">
        <f t="shared" si="544"/>
        <v>0</v>
      </c>
      <c r="L956" s="331">
        <f t="shared" si="544"/>
        <v>0</v>
      </c>
      <c r="M956" s="331">
        <f t="shared" si="544"/>
        <v>1926</v>
      </c>
      <c r="N956" s="331">
        <f t="shared" si="544"/>
        <v>1290</v>
      </c>
      <c r="O956" s="331">
        <f t="shared" si="544"/>
        <v>0</v>
      </c>
      <c r="P956" s="331">
        <f t="shared" si="544"/>
        <v>0</v>
      </c>
      <c r="Q956" s="331">
        <f t="shared" si="544"/>
        <v>1290</v>
      </c>
      <c r="R956" s="331">
        <f t="shared" si="544"/>
        <v>1290</v>
      </c>
      <c r="S956" s="331">
        <f t="shared" si="544"/>
        <v>0</v>
      </c>
      <c r="T956" s="331">
        <f t="shared" si="544"/>
        <v>0</v>
      </c>
      <c r="U956" s="331">
        <f t="shared" si="544"/>
        <v>1290</v>
      </c>
      <c r="V956" s="331">
        <f t="shared" si="544"/>
        <v>392</v>
      </c>
      <c r="W956" s="331">
        <f t="shared" si="544"/>
        <v>392</v>
      </c>
      <c r="X956" s="331">
        <f t="shared" si="544"/>
        <v>0</v>
      </c>
      <c r="Y956" s="331">
        <f t="shared" si="544"/>
        <v>392</v>
      </c>
      <c r="Z956" s="331">
        <f t="shared" ref="Z956:AA956" si="547">+Z957</f>
        <v>0</v>
      </c>
      <c r="AA956" s="331">
        <f t="shared" si="547"/>
        <v>0</v>
      </c>
      <c r="AB956" s="332"/>
      <c r="AC956" s="380">
        <f t="shared" si="523"/>
        <v>0</v>
      </c>
    </row>
    <row r="957" spans="1:36" s="231" customFormat="1" ht="66.75" customHeight="1">
      <c r="A957" s="430" t="s">
        <v>144</v>
      </c>
      <c r="B957" s="745" t="s">
        <v>400</v>
      </c>
      <c r="C957" s="27" t="s">
        <v>203</v>
      </c>
      <c r="D957" s="433">
        <v>8081033</v>
      </c>
      <c r="E957" s="432">
        <v>341</v>
      </c>
      <c r="F957" s="432" t="s">
        <v>401</v>
      </c>
      <c r="G957" s="439"/>
      <c r="H957" s="428" t="s">
        <v>187</v>
      </c>
      <c r="I957" s="13" t="s">
        <v>402</v>
      </c>
      <c r="J957" s="407">
        <v>1926</v>
      </c>
      <c r="K957" s="429"/>
      <c r="L957" s="429"/>
      <c r="M957" s="19">
        <f>J957</f>
        <v>1926</v>
      </c>
      <c r="N957" s="12">
        <f>O957+P957+Q957</f>
        <v>1290</v>
      </c>
      <c r="O957" s="429"/>
      <c r="P957" s="429"/>
      <c r="Q957" s="399">
        <v>1290</v>
      </c>
      <c r="R957" s="12">
        <f>S957+T957+U957</f>
        <v>1290</v>
      </c>
      <c r="S957" s="429"/>
      <c r="T957" s="429"/>
      <c r="U957" s="399">
        <v>1290</v>
      </c>
      <c r="V957" s="19">
        <v>392</v>
      </c>
      <c r="W957" s="24">
        <f>SUM(X957:AA957)</f>
        <v>392</v>
      </c>
      <c r="X957" s="24"/>
      <c r="Y957" s="24">
        <v>392</v>
      </c>
      <c r="Z957" s="24"/>
      <c r="AA957" s="24"/>
      <c r="AB957" s="21" t="s">
        <v>1308</v>
      </c>
      <c r="AC957" s="380">
        <f t="shared" si="523"/>
        <v>0</v>
      </c>
      <c r="AJ957" s="555" t="s">
        <v>1308</v>
      </c>
    </row>
    <row r="958" spans="1:36" s="231" customFormat="1" ht="37.5" customHeight="1">
      <c r="A958" s="389">
        <v>3</v>
      </c>
      <c r="B958" s="543" t="s">
        <v>234</v>
      </c>
      <c r="C958" s="543" t="s">
        <v>234</v>
      </c>
      <c r="D958" s="451"/>
      <c r="E958" s="451"/>
      <c r="F958" s="451"/>
      <c r="G958" s="451"/>
      <c r="H958" s="451"/>
      <c r="I958" s="452"/>
      <c r="J958" s="391">
        <f t="shared" ref="J958:AA958" si="548">+J959</f>
        <v>17621.738841999999</v>
      </c>
      <c r="K958" s="391">
        <f t="shared" si="548"/>
        <v>0</v>
      </c>
      <c r="L958" s="391">
        <f t="shared" si="548"/>
        <v>0</v>
      </c>
      <c r="M958" s="391">
        <f t="shared" si="548"/>
        <v>17621.738841999999</v>
      </c>
      <c r="N958" s="391">
        <f t="shared" si="548"/>
        <v>16643</v>
      </c>
      <c r="O958" s="391">
        <f t="shared" si="548"/>
        <v>0</v>
      </c>
      <c r="P958" s="391">
        <f t="shared" si="548"/>
        <v>0</v>
      </c>
      <c r="Q958" s="391">
        <f t="shared" si="548"/>
        <v>16643</v>
      </c>
      <c r="R958" s="391">
        <f t="shared" si="548"/>
        <v>16233</v>
      </c>
      <c r="S958" s="391">
        <f t="shared" si="548"/>
        <v>0</v>
      </c>
      <c r="T958" s="391">
        <f t="shared" si="548"/>
        <v>0</v>
      </c>
      <c r="U958" s="391">
        <f t="shared" si="548"/>
        <v>16233</v>
      </c>
      <c r="V958" s="391">
        <f t="shared" si="548"/>
        <v>410</v>
      </c>
      <c r="W958" s="391">
        <f t="shared" si="548"/>
        <v>410</v>
      </c>
      <c r="X958" s="391">
        <f t="shared" si="548"/>
        <v>0</v>
      </c>
      <c r="Y958" s="391">
        <f t="shared" si="548"/>
        <v>0</v>
      </c>
      <c r="Z958" s="391">
        <f t="shared" si="548"/>
        <v>410</v>
      </c>
      <c r="AA958" s="391">
        <f t="shared" si="548"/>
        <v>0</v>
      </c>
      <c r="AB958" s="392"/>
      <c r="AC958" s="380">
        <f t="shared" si="523"/>
        <v>0</v>
      </c>
    </row>
    <row r="959" spans="1:36" s="417" customFormat="1" ht="31.5" customHeight="1">
      <c r="A959" s="393" t="s">
        <v>1288</v>
      </c>
      <c r="B959" s="394" t="s">
        <v>38</v>
      </c>
      <c r="C959" s="544" t="s">
        <v>234</v>
      </c>
      <c r="D959" s="421"/>
      <c r="E959" s="421"/>
      <c r="F959" s="421"/>
      <c r="G959" s="421"/>
      <c r="H959" s="421"/>
      <c r="I959" s="421"/>
      <c r="J959" s="453">
        <f>J960+J961</f>
        <v>17621.738841999999</v>
      </c>
      <c r="K959" s="453">
        <f t="shared" ref="K959:AA959" si="549">K960+K961</f>
        <v>0</v>
      </c>
      <c r="L959" s="453">
        <f t="shared" si="549"/>
        <v>0</v>
      </c>
      <c r="M959" s="453">
        <f t="shared" si="549"/>
        <v>17621.738841999999</v>
      </c>
      <c r="N959" s="453">
        <f t="shared" si="549"/>
        <v>16643</v>
      </c>
      <c r="O959" s="453">
        <f t="shared" si="549"/>
        <v>0</v>
      </c>
      <c r="P959" s="453">
        <f t="shared" si="549"/>
        <v>0</v>
      </c>
      <c r="Q959" s="453">
        <f t="shared" si="549"/>
        <v>16643</v>
      </c>
      <c r="R959" s="453">
        <f t="shared" si="549"/>
        <v>16233</v>
      </c>
      <c r="S959" s="453">
        <f t="shared" si="549"/>
        <v>0</v>
      </c>
      <c r="T959" s="453">
        <f t="shared" si="549"/>
        <v>0</v>
      </c>
      <c r="U959" s="453">
        <f t="shared" si="549"/>
        <v>16233</v>
      </c>
      <c r="V959" s="453">
        <f t="shared" si="549"/>
        <v>410</v>
      </c>
      <c r="W959" s="453">
        <f t="shared" si="549"/>
        <v>410</v>
      </c>
      <c r="X959" s="453">
        <f t="shared" si="549"/>
        <v>0</v>
      </c>
      <c r="Y959" s="453">
        <f t="shared" si="549"/>
        <v>0</v>
      </c>
      <c r="Z959" s="453">
        <f t="shared" si="549"/>
        <v>410</v>
      </c>
      <c r="AA959" s="453">
        <f t="shared" si="549"/>
        <v>0</v>
      </c>
      <c r="AB959" s="454"/>
      <c r="AC959" s="380">
        <f t="shared" si="523"/>
        <v>0</v>
      </c>
    </row>
    <row r="960" spans="1:36" s="10" customFormat="1" ht="39.75" customHeight="1">
      <c r="A960" s="332" t="s">
        <v>39</v>
      </c>
      <c r="B960" s="326" t="s">
        <v>1254</v>
      </c>
      <c r="C960" s="544" t="s">
        <v>234</v>
      </c>
      <c r="D960" s="554"/>
      <c r="E960" s="332"/>
      <c r="F960" s="471"/>
      <c r="G960" s="471"/>
      <c r="H960" s="332"/>
      <c r="I960" s="471"/>
      <c r="J960" s="331"/>
      <c r="K960" s="331"/>
      <c r="L960" s="331"/>
      <c r="M960" s="331"/>
      <c r="N960" s="331"/>
      <c r="O960" s="331"/>
      <c r="P960" s="331"/>
      <c r="Q960" s="331"/>
      <c r="R960" s="331"/>
      <c r="S960" s="331"/>
      <c r="T960" s="331"/>
      <c r="U960" s="331"/>
      <c r="V960" s="331"/>
      <c r="W960" s="331"/>
      <c r="X960" s="331"/>
      <c r="Y960" s="331"/>
      <c r="Z960" s="331"/>
      <c r="AA960" s="331"/>
      <c r="AB960" s="332"/>
      <c r="AC960" s="380">
        <f t="shared" si="523"/>
        <v>0</v>
      </c>
    </row>
    <row r="961" spans="1:36" s="417" customFormat="1" ht="48.75" customHeight="1">
      <c r="A961" s="397" t="s">
        <v>467</v>
      </c>
      <c r="B961" s="400" t="s">
        <v>183</v>
      </c>
      <c r="C961" s="544" t="s">
        <v>234</v>
      </c>
      <c r="D961" s="423"/>
      <c r="E961" s="423"/>
      <c r="F961" s="328"/>
      <c r="G961" s="328"/>
      <c r="H961" s="328"/>
      <c r="I961" s="328"/>
      <c r="J961" s="436">
        <f t="shared" ref="J961:AA961" si="550">SUM(J962:J962)</f>
        <v>17621.738841999999</v>
      </c>
      <c r="K961" s="436">
        <f t="shared" si="550"/>
        <v>0</v>
      </c>
      <c r="L961" s="436">
        <f t="shared" si="550"/>
        <v>0</v>
      </c>
      <c r="M961" s="436">
        <f t="shared" si="550"/>
        <v>17621.738841999999</v>
      </c>
      <c r="N961" s="436">
        <f t="shared" si="550"/>
        <v>16643</v>
      </c>
      <c r="O961" s="436">
        <f t="shared" si="550"/>
        <v>0</v>
      </c>
      <c r="P961" s="436">
        <f t="shared" si="550"/>
        <v>0</v>
      </c>
      <c r="Q961" s="436">
        <f t="shared" si="550"/>
        <v>16643</v>
      </c>
      <c r="R961" s="436">
        <f t="shared" si="550"/>
        <v>16233</v>
      </c>
      <c r="S961" s="436">
        <f t="shared" si="550"/>
        <v>0</v>
      </c>
      <c r="T961" s="436">
        <f t="shared" si="550"/>
        <v>0</v>
      </c>
      <c r="U961" s="436">
        <f t="shared" si="550"/>
        <v>16233</v>
      </c>
      <c r="V961" s="436">
        <f t="shared" si="550"/>
        <v>410</v>
      </c>
      <c r="W961" s="436">
        <f t="shared" si="550"/>
        <v>410</v>
      </c>
      <c r="X961" s="436">
        <f t="shared" si="550"/>
        <v>0</v>
      </c>
      <c r="Y961" s="436">
        <f t="shared" si="550"/>
        <v>0</v>
      </c>
      <c r="Z961" s="436">
        <f t="shared" si="550"/>
        <v>410</v>
      </c>
      <c r="AA961" s="436">
        <f t="shared" si="550"/>
        <v>0</v>
      </c>
      <c r="AB961" s="437"/>
      <c r="AC961" s="380">
        <f t="shared" si="523"/>
        <v>0</v>
      </c>
    </row>
    <row r="962" spans="1:36" s="7" customFormat="1" ht="45" customHeight="1">
      <c r="A962" s="26" t="s">
        <v>144</v>
      </c>
      <c r="B962" s="27" t="s">
        <v>403</v>
      </c>
      <c r="C962" s="544" t="s">
        <v>234</v>
      </c>
      <c r="D962" s="13">
        <v>7927441</v>
      </c>
      <c r="E962" s="313">
        <v>341</v>
      </c>
      <c r="F962" s="13" t="s">
        <v>265</v>
      </c>
      <c r="G962" s="545" t="s">
        <v>404</v>
      </c>
      <c r="H962" s="13" t="s">
        <v>244</v>
      </c>
      <c r="I962" s="13" t="s">
        <v>405</v>
      </c>
      <c r="J962" s="113">
        <v>17621.738841999999</v>
      </c>
      <c r="K962" s="113"/>
      <c r="L962" s="113"/>
      <c r="M962" s="113">
        <v>17621.738841999999</v>
      </c>
      <c r="N962" s="110">
        <f>O962+P962+Q962</f>
        <v>16643</v>
      </c>
      <c r="O962" s="110"/>
      <c r="P962" s="110"/>
      <c r="Q962" s="110">
        <v>16643</v>
      </c>
      <c r="R962" s="110">
        <f>S962+T962+U962</f>
        <v>16233</v>
      </c>
      <c r="S962" s="110"/>
      <c r="T962" s="110"/>
      <c r="U962" s="110">
        <v>16233</v>
      </c>
      <c r="V962" s="407">
        <v>410</v>
      </c>
      <c r="W962" s="110">
        <f>SUM(X962:AA962)</f>
        <v>410</v>
      </c>
      <c r="X962" s="110"/>
      <c r="Y962" s="110"/>
      <c r="Z962" s="110">
        <v>410</v>
      </c>
      <c r="AA962" s="110"/>
      <c r="AB962" s="21" t="s">
        <v>1622</v>
      </c>
      <c r="AC962" s="380">
        <f t="shared" si="523"/>
        <v>0</v>
      </c>
      <c r="AJ962" s="7" t="s">
        <v>685</v>
      </c>
    </row>
    <row r="963" spans="1:36" s="7" customFormat="1" ht="41.25" customHeight="1">
      <c r="A963" s="613" t="s">
        <v>1621</v>
      </c>
      <c r="B963" s="317" t="s">
        <v>845</v>
      </c>
      <c r="C963" s="317" t="s">
        <v>845</v>
      </c>
      <c r="D963" s="320"/>
      <c r="E963" s="320"/>
      <c r="F963" s="313"/>
      <c r="G963" s="313"/>
      <c r="H963" s="313"/>
      <c r="I963" s="33"/>
      <c r="J963" s="558">
        <f t="shared" ref="J963:AA963" si="551">J964</f>
        <v>35400</v>
      </c>
      <c r="K963" s="558">
        <f t="shared" si="551"/>
        <v>0</v>
      </c>
      <c r="L963" s="558">
        <f t="shared" si="551"/>
        <v>0</v>
      </c>
      <c r="M963" s="558">
        <f t="shared" si="551"/>
        <v>35400</v>
      </c>
      <c r="N963" s="558">
        <f t="shared" si="551"/>
        <v>32668</v>
      </c>
      <c r="O963" s="558">
        <f t="shared" si="551"/>
        <v>0</v>
      </c>
      <c r="P963" s="558">
        <f t="shared" si="551"/>
        <v>0</v>
      </c>
      <c r="Q963" s="558">
        <f t="shared" si="551"/>
        <v>32668</v>
      </c>
      <c r="R963" s="558">
        <f t="shared" si="551"/>
        <v>29547</v>
      </c>
      <c r="S963" s="558">
        <f t="shared" si="551"/>
        <v>0</v>
      </c>
      <c r="T963" s="558">
        <f t="shared" si="551"/>
        <v>0</v>
      </c>
      <c r="U963" s="558">
        <f t="shared" si="551"/>
        <v>29547</v>
      </c>
      <c r="V963" s="558">
        <f t="shared" si="551"/>
        <v>3124.8629999999994</v>
      </c>
      <c r="W963" s="558">
        <f t="shared" si="551"/>
        <v>3125</v>
      </c>
      <c r="X963" s="558">
        <f t="shared" si="551"/>
        <v>0</v>
      </c>
      <c r="Y963" s="558">
        <f t="shared" si="551"/>
        <v>3125</v>
      </c>
      <c r="Z963" s="558">
        <f t="shared" si="551"/>
        <v>0</v>
      </c>
      <c r="AA963" s="558">
        <f t="shared" si="551"/>
        <v>0</v>
      </c>
      <c r="AB963" s="559"/>
      <c r="AC963" s="380">
        <f t="shared" si="523"/>
        <v>0</v>
      </c>
    </row>
    <row r="964" spans="1:36" s="417" customFormat="1" ht="28.5" customHeight="1">
      <c r="A964" s="393" t="s">
        <v>1290</v>
      </c>
      <c r="B964" s="394" t="s">
        <v>38</v>
      </c>
      <c r="C964" s="15" t="s">
        <v>845</v>
      </c>
      <c r="D964" s="421"/>
      <c r="E964" s="421"/>
      <c r="F964" s="327"/>
      <c r="G964" s="327"/>
      <c r="H964" s="327"/>
      <c r="I964" s="494"/>
      <c r="J964" s="561">
        <f>J966+J965</f>
        <v>35400</v>
      </c>
      <c r="K964" s="561">
        <f t="shared" ref="K964:AA964" si="552">K966+K965</f>
        <v>0</v>
      </c>
      <c r="L964" s="561">
        <f t="shared" si="552"/>
        <v>0</v>
      </c>
      <c r="M964" s="561">
        <f t="shared" si="552"/>
        <v>35400</v>
      </c>
      <c r="N964" s="561">
        <f t="shared" si="552"/>
        <v>32668</v>
      </c>
      <c r="O964" s="561">
        <f t="shared" si="552"/>
        <v>0</v>
      </c>
      <c r="P964" s="561">
        <f t="shared" si="552"/>
        <v>0</v>
      </c>
      <c r="Q964" s="561">
        <f t="shared" si="552"/>
        <v>32668</v>
      </c>
      <c r="R964" s="561">
        <f t="shared" si="552"/>
        <v>29547</v>
      </c>
      <c r="S964" s="561">
        <f t="shared" si="552"/>
        <v>0</v>
      </c>
      <c r="T964" s="561">
        <f t="shared" si="552"/>
        <v>0</v>
      </c>
      <c r="U964" s="561">
        <f t="shared" si="552"/>
        <v>29547</v>
      </c>
      <c r="V964" s="561">
        <f t="shared" si="552"/>
        <v>3124.8629999999994</v>
      </c>
      <c r="W964" s="561">
        <f t="shared" si="552"/>
        <v>3125</v>
      </c>
      <c r="X964" s="561">
        <f t="shared" si="552"/>
        <v>0</v>
      </c>
      <c r="Y964" s="561">
        <f t="shared" si="552"/>
        <v>3125</v>
      </c>
      <c r="Z964" s="561">
        <f t="shared" si="552"/>
        <v>0</v>
      </c>
      <c r="AA964" s="561">
        <f t="shared" si="552"/>
        <v>0</v>
      </c>
      <c r="AB964" s="562"/>
      <c r="AC964" s="380">
        <f t="shared" si="523"/>
        <v>0</v>
      </c>
    </row>
    <row r="965" spans="1:36" s="10" customFormat="1" ht="39.75" customHeight="1">
      <c r="A965" s="332" t="s">
        <v>39</v>
      </c>
      <c r="B965" s="326" t="s">
        <v>1254</v>
      </c>
      <c r="C965" s="15" t="s">
        <v>845</v>
      </c>
      <c r="D965" s="554"/>
      <c r="E965" s="332"/>
      <c r="F965" s="471"/>
      <c r="G965" s="471"/>
      <c r="H965" s="332"/>
      <c r="I965" s="471"/>
      <c r="J965" s="331"/>
      <c r="K965" s="331"/>
      <c r="L965" s="331"/>
      <c r="M965" s="331"/>
      <c r="N965" s="331"/>
      <c r="O965" s="331"/>
      <c r="P965" s="331"/>
      <c r="Q965" s="331"/>
      <c r="R965" s="331"/>
      <c r="S965" s="331"/>
      <c r="T965" s="331"/>
      <c r="U965" s="331"/>
      <c r="V965" s="331"/>
      <c r="W965" s="331"/>
      <c r="X965" s="331"/>
      <c r="Y965" s="331"/>
      <c r="Z965" s="331"/>
      <c r="AA965" s="331"/>
      <c r="AB965" s="332"/>
      <c r="AC965" s="380">
        <f t="shared" si="523"/>
        <v>0</v>
      </c>
    </row>
    <row r="966" spans="1:36" s="417" customFormat="1" ht="54.75" customHeight="1">
      <c r="A966" s="397" t="s">
        <v>467</v>
      </c>
      <c r="B966" s="326" t="s">
        <v>56</v>
      </c>
      <c r="C966" s="15" t="s">
        <v>845</v>
      </c>
      <c r="D966" s="328"/>
      <c r="E966" s="328"/>
      <c r="F966" s="327"/>
      <c r="G966" s="327"/>
      <c r="H966" s="327"/>
      <c r="I966" s="494"/>
      <c r="J966" s="564">
        <f t="shared" ref="J966:AA966" si="553">SUM(J967:J971)</f>
        <v>35400</v>
      </c>
      <c r="K966" s="564">
        <f t="shared" si="553"/>
        <v>0</v>
      </c>
      <c r="L966" s="564">
        <f t="shared" si="553"/>
        <v>0</v>
      </c>
      <c r="M966" s="564">
        <f t="shared" si="553"/>
        <v>35400</v>
      </c>
      <c r="N966" s="564">
        <f t="shared" si="553"/>
        <v>32668</v>
      </c>
      <c r="O966" s="564">
        <f t="shared" si="553"/>
        <v>0</v>
      </c>
      <c r="P966" s="564">
        <f t="shared" si="553"/>
        <v>0</v>
      </c>
      <c r="Q966" s="564">
        <f t="shared" si="553"/>
        <v>32668</v>
      </c>
      <c r="R966" s="564">
        <f t="shared" si="553"/>
        <v>29547</v>
      </c>
      <c r="S966" s="564">
        <f t="shared" si="553"/>
        <v>0</v>
      </c>
      <c r="T966" s="564">
        <f t="shared" si="553"/>
        <v>0</v>
      </c>
      <c r="U966" s="564">
        <f t="shared" si="553"/>
        <v>29547</v>
      </c>
      <c r="V966" s="564">
        <f t="shared" si="553"/>
        <v>3124.8629999999994</v>
      </c>
      <c r="W966" s="564">
        <f t="shared" si="553"/>
        <v>3125</v>
      </c>
      <c r="X966" s="564">
        <f t="shared" si="553"/>
        <v>0</v>
      </c>
      <c r="Y966" s="564">
        <f t="shared" si="553"/>
        <v>3125</v>
      </c>
      <c r="Z966" s="564">
        <f t="shared" si="553"/>
        <v>0</v>
      </c>
      <c r="AA966" s="564">
        <f t="shared" si="553"/>
        <v>0</v>
      </c>
      <c r="AB966" s="565"/>
      <c r="AC966" s="380">
        <f t="shared" si="523"/>
        <v>0</v>
      </c>
    </row>
    <row r="967" spans="1:36" s="8" customFormat="1" ht="105">
      <c r="A967" s="26" t="s">
        <v>144</v>
      </c>
      <c r="B967" s="27" t="s">
        <v>1130</v>
      </c>
      <c r="C967" s="15" t="s">
        <v>845</v>
      </c>
      <c r="D967" s="13">
        <v>7921441</v>
      </c>
      <c r="E967" s="13"/>
      <c r="F967" s="13" t="s">
        <v>847</v>
      </c>
      <c r="G967" s="13" t="s">
        <v>1131</v>
      </c>
      <c r="H967" s="13" t="s">
        <v>370</v>
      </c>
      <c r="I967" s="13" t="s">
        <v>1132</v>
      </c>
      <c r="J967" s="526">
        <v>10000</v>
      </c>
      <c r="K967" s="526"/>
      <c r="L967" s="526"/>
      <c r="M967" s="526">
        <v>10000</v>
      </c>
      <c r="N967" s="526">
        <v>9030</v>
      </c>
      <c r="O967" s="526"/>
      <c r="P967" s="526"/>
      <c r="Q967" s="526">
        <v>9030</v>
      </c>
      <c r="R967" s="526">
        <v>9000</v>
      </c>
      <c r="S967" s="526"/>
      <c r="T967" s="526"/>
      <c r="U967" s="526">
        <v>9000</v>
      </c>
      <c r="V967" s="476">
        <v>30</v>
      </c>
      <c r="W967" s="526">
        <f>SUM(X967:AA967)</f>
        <v>30</v>
      </c>
      <c r="X967" s="526"/>
      <c r="Y967" s="526">
        <v>30</v>
      </c>
      <c r="Z967" s="526"/>
      <c r="AA967" s="526"/>
      <c r="AB967" s="21" t="s">
        <v>1622</v>
      </c>
      <c r="AC967" s="380">
        <f t="shared" si="523"/>
        <v>0</v>
      </c>
      <c r="AJ967" s="8" t="s">
        <v>685</v>
      </c>
    </row>
    <row r="968" spans="1:36" s="8" customFormat="1" ht="75">
      <c r="A968" s="26" t="s">
        <v>144</v>
      </c>
      <c r="B968" s="27" t="s">
        <v>1133</v>
      </c>
      <c r="C968" s="15" t="s">
        <v>845</v>
      </c>
      <c r="D968" s="13">
        <v>7866213</v>
      </c>
      <c r="E968" s="13"/>
      <c r="F968" s="13" t="s">
        <v>851</v>
      </c>
      <c r="G968" s="13" t="s">
        <v>1134</v>
      </c>
      <c r="H968" s="13" t="s">
        <v>370</v>
      </c>
      <c r="I968" s="13" t="s">
        <v>1135</v>
      </c>
      <c r="J968" s="526">
        <v>14500</v>
      </c>
      <c r="K968" s="526"/>
      <c r="L968" s="526"/>
      <c r="M968" s="526">
        <v>14500</v>
      </c>
      <c r="N968" s="526">
        <v>13534</v>
      </c>
      <c r="O968" s="526"/>
      <c r="P968" s="526"/>
      <c r="Q968" s="526">
        <v>13534</v>
      </c>
      <c r="R968" s="526">
        <v>13210</v>
      </c>
      <c r="S968" s="526"/>
      <c r="T968" s="526"/>
      <c r="U968" s="526">
        <v>13210</v>
      </c>
      <c r="V968" s="476">
        <v>328</v>
      </c>
      <c r="W968" s="526">
        <f t="shared" ref="W968:W971" si="554">SUM(X968:AA968)</f>
        <v>328</v>
      </c>
      <c r="X968" s="526"/>
      <c r="Y968" s="476">
        <v>328</v>
      </c>
      <c r="Z968" s="526"/>
      <c r="AA968" s="526"/>
      <c r="AB968" s="21" t="s">
        <v>1622</v>
      </c>
      <c r="AC968" s="380">
        <f t="shared" si="523"/>
        <v>0</v>
      </c>
      <c r="AJ968" s="8" t="s">
        <v>685</v>
      </c>
    </row>
    <row r="969" spans="1:36" s="8" customFormat="1" ht="40.5" customHeight="1">
      <c r="A969" s="26" t="s">
        <v>144</v>
      </c>
      <c r="B969" s="27" t="s">
        <v>1136</v>
      </c>
      <c r="C969" s="15" t="s">
        <v>845</v>
      </c>
      <c r="D969" s="13">
        <v>8124636</v>
      </c>
      <c r="E969" s="13"/>
      <c r="F969" s="13" t="s">
        <v>847</v>
      </c>
      <c r="G969" s="13" t="s">
        <v>1137</v>
      </c>
      <c r="H969" s="13">
        <v>2025</v>
      </c>
      <c r="I969" s="13" t="s">
        <v>1138</v>
      </c>
      <c r="J969" s="526">
        <v>1000</v>
      </c>
      <c r="K969" s="526"/>
      <c r="L969" s="526"/>
      <c r="M969" s="526">
        <v>1000</v>
      </c>
      <c r="N969" s="526">
        <v>910</v>
      </c>
      <c r="O969" s="526"/>
      <c r="P969" s="526"/>
      <c r="Q969" s="526">
        <v>910</v>
      </c>
      <c r="R969" s="526">
        <v>830</v>
      </c>
      <c r="S969" s="526"/>
      <c r="T969" s="526"/>
      <c r="U969" s="526">
        <v>830</v>
      </c>
      <c r="V969" s="476">
        <v>80</v>
      </c>
      <c r="W969" s="526">
        <f t="shared" si="554"/>
        <v>80</v>
      </c>
      <c r="X969" s="526"/>
      <c r="Y969" s="526">
        <v>80</v>
      </c>
      <c r="Z969" s="526"/>
      <c r="AA969" s="526"/>
      <c r="AB969" s="478" t="s">
        <v>1622</v>
      </c>
      <c r="AC969" s="380">
        <f t="shared" si="523"/>
        <v>0</v>
      </c>
      <c r="AJ969" s="8" t="s">
        <v>685</v>
      </c>
    </row>
    <row r="970" spans="1:36" s="8" customFormat="1" ht="40.5" customHeight="1">
      <c r="A970" s="26" t="s">
        <v>144</v>
      </c>
      <c r="B970" s="27" t="s">
        <v>1139</v>
      </c>
      <c r="C970" s="15" t="s">
        <v>845</v>
      </c>
      <c r="D970" s="13">
        <v>8094605</v>
      </c>
      <c r="E970" s="13"/>
      <c r="F970" s="13" t="s">
        <v>847</v>
      </c>
      <c r="G970" s="13" t="s">
        <v>1140</v>
      </c>
      <c r="H970" s="13" t="s">
        <v>187</v>
      </c>
      <c r="I970" s="13" t="s">
        <v>1141</v>
      </c>
      <c r="J970" s="526">
        <v>2900</v>
      </c>
      <c r="K970" s="526"/>
      <c r="L970" s="526"/>
      <c r="M970" s="526">
        <v>2900</v>
      </c>
      <c r="N970" s="526">
        <v>2900</v>
      </c>
      <c r="O970" s="526"/>
      <c r="P970" s="526"/>
      <c r="Q970" s="526">
        <v>2900</v>
      </c>
      <c r="R970" s="526">
        <v>2030</v>
      </c>
      <c r="S970" s="526"/>
      <c r="T970" s="526"/>
      <c r="U970" s="526">
        <v>2030</v>
      </c>
      <c r="V970" s="476">
        <v>870</v>
      </c>
      <c r="W970" s="526">
        <f t="shared" si="554"/>
        <v>870</v>
      </c>
      <c r="X970" s="526"/>
      <c r="Y970" s="526">
        <v>870</v>
      </c>
      <c r="Z970" s="526"/>
      <c r="AA970" s="526"/>
      <c r="AB970" s="478" t="s">
        <v>1622</v>
      </c>
      <c r="AC970" s="380">
        <f t="shared" si="523"/>
        <v>0</v>
      </c>
      <c r="AJ970" s="8" t="s">
        <v>685</v>
      </c>
    </row>
    <row r="971" spans="1:36" s="8" customFormat="1" ht="40.5" customHeight="1">
      <c r="A971" s="26" t="s">
        <v>144</v>
      </c>
      <c r="B971" s="27" t="s">
        <v>1142</v>
      </c>
      <c r="C971" s="15" t="s">
        <v>845</v>
      </c>
      <c r="D971" s="13">
        <v>8069514</v>
      </c>
      <c r="E971" s="13"/>
      <c r="F971" s="13" t="s">
        <v>847</v>
      </c>
      <c r="G971" s="13"/>
      <c r="H971" s="13" t="s">
        <v>187</v>
      </c>
      <c r="I971" s="13" t="s">
        <v>1143</v>
      </c>
      <c r="J971" s="526">
        <v>7000</v>
      </c>
      <c r="K971" s="526"/>
      <c r="L971" s="526"/>
      <c r="M971" s="526">
        <v>7000</v>
      </c>
      <c r="N971" s="526">
        <v>6294</v>
      </c>
      <c r="O971" s="526"/>
      <c r="P971" s="526"/>
      <c r="Q971" s="526">
        <v>6294</v>
      </c>
      <c r="R971" s="526">
        <v>4477</v>
      </c>
      <c r="S971" s="526"/>
      <c r="T971" s="526"/>
      <c r="U971" s="526">
        <v>4477</v>
      </c>
      <c r="V971" s="476">
        <v>1816.8629999999994</v>
      </c>
      <c r="W971" s="526">
        <f t="shared" si="554"/>
        <v>1817</v>
      </c>
      <c r="X971" s="526"/>
      <c r="Y971" s="526">
        <v>1817</v>
      </c>
      <c r="Z971" s="526"/>
      <c r="AA971" s="526"/>
      <c r="AB971" s="478" t="s">
        <v>1622</v>
      </c>
      <c r="AC971" s="380">
        <f t="shared" si="523"/>
        <v>0</v>
      </c>
      <c r="AJ971" s="8" t="s">
        <v>685</v>
      </c>
    </row>
    <row r="972" spans="1:36" s="8" customFormat="1" ht="39" customHeight="1">
      <c r="A972" s="648">
        <v>5</v>
      </c>
      <c r="B972" s="441" t="s">
        <v>869</v>
      </c>
      <c r="C972" s="441" t="s">
        <v>869</v>
      </c>
      <c r="D972" s="13"/>
      <c r="E972" s="13"/>
      <c r="F972" s="13"/>
      <c r="G972" s="13"/>
      <c r="H972" s="13"/>
      <c r="I972" s="13"/>
      <c r="J972" s="527">
        <f t="shared" ref="J972:AA972" si="555">J973</f>
        <v>18000</v>
      </c>
      <c r="K972" s="527">
        <f t="shared" si="555"/>
        <v>0</v>
      </c>
      <c r="L972" s="527">
        <f t="shared" si="555"/>
        <v>0</v>
      </c>
      <c r="M972" s="527">
        <f t="shared" si="555"/>
        <v>18000</v>
      </c>
      <c r="N972" s="527">
        <f t="shared" si="555"/>
        <v>16935.580000000002</v>
      </c>
      <c r="O972" s="527">
        <f t="shared" si="555"/>
        <v>0</v>
      </c>
      <c r="P972" s="527">
        <f t="shared" si="555"/>
        <v>0</v>
      </c>
      <c r="Q972" s="527">
        <f t="shared" si="555"/>
        <v>16935.580000000002</v>
      </c>
      <c r="R972" s="527">
        <f t="shared" si="555"/>
        <v>16699.152999999998</v>
      </c>
      <c r="S972" s="527">
        <f t="shared" si="555"/>
        <v>0</v>
      </c>
      <c r="T972" s="527">
        <f t="shared" si="555"/>
        <v>0</v>
      </c>
      <c r="U972" s="527">
        <f t="shared" si="555"/>
        <v>16699.152999999998</v>
      </c>
      <c r="V972" s="527">
        <f t="shared" si="555"/>
        <v>236.42700000000332</v>
      </c>
      <c r="W972" s="527">
        <f t="shared" si="555"/>
        <v>236.42700000000332</v>
      </c>
      <c r="X972" s="527">
        <f t="shared" si="555"/>
        <v>0</v>
      </c>
      <c r="Y972" s="527">
        <f t="shared" si="555"/>
        <v>236.42700000000332</v>
      </c>
      <c r="Z972" s="527">
        <f t="shared" si="555"/>
        <v>0</v>
      </c>
      <c r="AA972" s="527">
        <f t="shared" si="555"/>
        <v>0</v>
      </c>
      <c r="AB972" s="482"/>
      <c r="AC972" s="380">
        <f t="shared" si="523"/>
        <v>0</v>
      </c>
    </row>
    <row r="973" spans="1:36" s="10" customFormat="1" ht="23.25" customHeight="1">
      <c r="A973" s="393" t="s">
        <v>1309</v>
      </c>
      <c r="B973" s="394" t="s">
        <v>38</v>
      </c>
      <c r="C973" s="27" t="s">
        <v>869</v>
      </c>
      <c r="D973" s="328"/>
      <c r="E973" s="328"/>
      <c r="F973" s="328"/>
      <c r="G973" s="328"/>
      <c r="H973" s="328"/>
      <c r="I973" s="328"/>
      <c r="J973" s="556">
        <f>J975+J974</f>
        <v>18000</v>
      </c>
      <c r="K973" s="556">
        <f t="shared" ref="K973:AA973" si="556">K975+K974</f>
        <v>0</v>
      </c>
      <c r="L973" s="556">
        <f t="shared" si="556"/>
        <v>0</v>
      </c>
      <c r="M973" s="556">
        <f t="shared" si="556"/>
        <v>18000</v>
      </c>
      <c r="N973" s="556">
        <f t="shared" si="556"/>
        <v>16935.580000000002</v>
      </c>
      <c r="O973" s="556">
        <f t="shared" si="556"/>
        <v>0</v>
      </c>
      <c r="P973" s="556">
        <f t="shared" si="556"/>
        <v>0</v>
      </c>
      <c r="Q973" s="556">
        <f t="shared" si="556"/>
        <v>16935.580000000002</v>
      </c>
      <c r="R973" s="556">
        <f t="shared" si="556"/>
        <v>16699.152999999998</v>
      </c>
      <c r="S973" s="556">
        <f t="shared" si="556"/>
        <v>0</v>
      </c>
      <c r="T973" s="556">
        <f t="shared" si="556"/>
        <v>0</v>
      </c>
      <c r="U973" s="556">
        <f t="shared" si="556"/>
        <v>16699.152999999998</v>
      </c>
      <c r="V973" s="556">
        <f t="shared" si="556"/>
        <v>236.42700000000332</v>
      </c>
      <c r="W973" s="556">
        <f t="shared" si="556"/>
        <v>236.42700000000332</v>
      </c>
      <c r="X973" s="556">
        <f t="shared" si="556"/>
        <v>0</v>
      </c>
      <c r="Y973" s="556">
        <f t="shared" si="556"/>
        <v>236.42700000000332</v>
      </c>
      <c r="Z973" s="556">
        <f t="shared" si="556"/>
        <v>0</v>
      </c>
      <c r="AA973" s="556">
        <f t="shared" si="556"/>
        <v>0</v>
      </c>
      <c r="AB973" s="484"/>
      <c r="AC973" s="380">
        <f t="shared" si="523"/>
        <v>0</v>
      </c>
    </row>
    <row r="974" spans="1:36" s="10" customFormat="1" ht="39.75" customHeight="1">
      <c r="A974" s="332" t="s">
        <v>39</v>
      </c>
      <c r="B974" s="326" t="s">
        <v>1254</v>
      </c>
      <c r="C974" s="27" t="s">
        <v>869</v>
      </c>
      <c r="D974" s="554"/>
      <c r="E974" s="332"/>
      <c r="F974" s="471"/>
      <c r="G974" s="471"/>
      <c r="H974" s="332"/>
      <c r="I974" s="471"/>
      <c r="J974" s="331"/>
      <c r="K974" s="331">
        <f>+K975</f>
        <v>0</v>
      </c>
      <c r="L974" s="331">
        <f>+L975</f>
        <v>0</v>
      </c>
      <c r="M974" s="331"/>
      <c r="N974" s="331"/>
      <c r="O974" s="331"/>
      <c r="P974" s="331"/>
      <c r="Q974" s="331"/>
      <c r="R974" s="331"/>
      <c r="S974" s="331"/>
      <c r="T974" s="331"/>
      <c r="U974" s="331"/>
      <c r="V974" s="331"/>
      <c r="W974" s="331"/>
      <c r="X974" s="331"/>
      <c r="Y974" s="331"/>
      <c r="Z974" s="331"/>
      <c r="AA974" s="331"/>
      <c r="AB974" s="332"/>
      <c r="AC974" s="380">
        <f t="shared" si="523"/>
        <v>0</v>
      </c>
    </row>
    <row r="975" spans="1:36" s="10" customFormat="1" ht="36" customHeight="1">
      <c r="A975" s="397" t="s">
        <v>467</v>
      </c>
      <c r="B975" s="326" t="s">
        <v>56</v>
      </c>
      <c r="C975" s="27" t="s">
        <v>869</v>
      </c>
      <c r="D975" s="328"/>
      <c r="E975" s="328"/>
      <c r="F975" s="328"/>
      <c r="G975" s="328"/>
      <c r="H975" s="328"/>
      <c r="I975" s="328"/>
      <c r="J975" s="528">
        <f>SUM(J976)</f>
        <v>18000</v>
      </c>
      <c r="K975" s="528">
        <f t="shared" ref="K975:AA975" si="557">SUM(K976)</f>
        <v>0</v>
      </c>
      <c r="L975" s="528">
        <f t="shared" si="557"/>
        <v>0</v>
      </c>
      <c r="M975" s="528">
        <f t="shared" si="557"/>
        <v>18000</v>
      </c>
      <c r="N975" s="528">
        <f t="shared" si="557"/>
        <v>16935.580000000002</v>
      </c>
      <c r="O975" s="528">
        <f t="shared" si="557"/>
        <v>0</v>
      </c>
      <c r="P975" s="528">
        <f t="shared" si="557"/>
        <v>0</v>
      </c>
      <c r="Q975" s="528">
        <f t="shared" si="557"/>
        <v>16935.580000000002</v>
      </c>
      <c r="R975" s="528">
        <f t="shared" si="557"/>
        <v>16699.152999999998</v>
      </c>
      <c r="S975" s="528">
        <f t="shared" si="557"/>
        <v>0</v>
      </c>
      <c r="T975" s="528">
        <f t="shared" si="557"/>
        <v>0</v>
      </c>
      <c r="U975" s="528">
        <f t="shared" si="557"/>
        <v>16699.152999999998</v>
      </c>
      <c r="V975" s="528">
        <f t="shared" si="557"/>
        <v>236.42700000000332</v>
      </c>
      <c r="W975" s="528">
        <f t="shared" si="557"/>
        <v>236.42700000000332</v>
      </c>
      <c r="X975" s="528">
        <f t="shared" si="557"/>
        <v>0</v>
      </c>
      <c r="Y975" s="528">
        <f t="shared" si="557"/>
        <v>236.42700000000332</v>
      </c>
      <c r="Z975" s="528">
        <f t="shared" si="557"/>
        <v>0</v>
      </c>
      <c r="AA975" s="528">
        <f t="shared" si="557"/>
        <v>0</v>
      </c>
      <c r="AB975" s="528"/>
      <c r="AC975" s="380">
        <f t="shared" si="523"/>
        <v>0</v>
      </c>
    </row>
    <row r="976" spans="1:36" s="8" customFormat="1" ht="48.75" customHeight="1">
      <c r="A976" s="430" t="s">
        <v>144</v>
      </c>
      <c r="B976" s="15" t="s">
        <v>1146</v>
      </c>
      <c r="C976" s="27" t="s">
        <v>869</v>
      </c>
      <c r="D976" s="20">
        <v>7897779</v>
      </c>
      <c r="E976" s="20"/>
      <c r="F976" s="20" t="s">
        <v>877</v>
      </c>
      <c r="G976" s="13"/>
      <c r="H976" s="20" t="s">
        <v>370</v>
      </c>
      <c r="I976" s="20" t="s">
        <v>1147</v>
      </c>
      <c r="J976" s="12">
        <v>18000</v>
      </c>
      <c r="K976" s="12"/>
      <c r="L976" s="12"/>
      <c r="M976" s="12">
        <v>18000</v>
      </c>
      <c r="N976" s="12">
        <v>16935.580000000002</v>
      </c>
      <c r="O976" s="12"/>
      <c r="P976" s="12"/>
      <c r="Q976" s="12">
        <v>16935.580000000002</v>
      </c>
      <c r="R976" s="12">
        <v>16699.152999999998</v>
      </c>
      <c r="S976" s="12"/>
      <c r="T976" s="12"/>
      <c r="U976" s="12">
        <v>16699.152999999998</v>
      </c>
      <c r="V976" s="12">
        <v>236.42700000000332</v>
      </c>
      <c r="W976" s="12">
        <f>SUM(X976:AA976)</f>
        <v>236.42700000000332</v>
      </c>
      <c r="X976" s="12"/>
      <c r="Y976" s="12">
        <v>236.42700000000332</v>
      </c>
      <c r="Z976" s="12"/>
      <c r="AA976" s="12"/>
      <c r="AB976" s="91" t="s">
        <v>1622</v>
      </c>
      <c r="AC976" s="380">
        <f t="shared" si="523"/>
        <v>0</v>
      </c>
      <c r="AJ976" s="8" t="s">
        <v>685</v>
      </c>
    </row>
    <row r="977" spans="1:36" s="231" customFormat="1" ht="37.5" customHeight="1">
      <c r="A977" s="426" t="s">
        <v>1310</v>
      </c>
      <c r="B977" s="317" t="s">
        <v>974</v>
      </c>
      <c r="C977" s="317" t="s">
        <v>974</v>
      </c>
      <c r="D977" s="306"/>
      <c r="E977" s="306"/>
      <c r="F977" s="306"/>
      <c r="G977" s="320"/>
      <c r="H977" s="306"/>
      <c r="I977" s="306"/>
      <c r="J977" s="14">
        <f>J978</f>
        <v>118000</v>
      </c>
      <c r="K977" s="14">
        <f t="shared" ref="K977:V977" si="558">K978</f>
        <v>0</v>
      </c>
      <c r="L977" s="14">
        <f t="shared" si="558"/>
        <v>0</v>
      </c>
      <c r="M977" s="14">
        <f t="shared" si="558"/>
        <v>118000</v>
      </c>
      <c r="N977" s="14">
        <f t="shared" si="558"/>
        <v>49953</v>
      </c>
      <c r="O977" s="14">
        <f t="shared" si="558"/>
        <v>0</v>
      </c>
      <c r="P977" s="14">
        <f t="shared" si="558"/>
        <v>0</v>
      </c>
      <c r="Q977" s="14">
        <f t="shared" si="558"/>
        <v>49953</v>
      </c>
      <c r="R977" s="14">
        <f t="shared" si="558"/>
        <v>82089</v>
      </c>
      <c r="S977" s="14">
        <f t="shared" si="558"/>
        <v>0</v>
      </c>
      <c r="T977" s="14">
        <f t="shared" si="558"/>
        <v>0</v>
      </c>
      <c r="U977" s="14">
        <f t="shared" si="558"/>
        <v>82089</v>
      </c>
      <c r="V977" s="14">
        <f t="shared" si="558"/>
        <v>35911</v>
      </c>
      <c r="W977" s="14">
        <f>W978</f>
        <v>35000</v>
      </c>
      <c r="X977" s="14">
        <f t="shared" ref="X977:AA977" si="559">X978</f>
        <v>0</v>
      </c>
      <c r="Y977" s="14">
        <f t="shared" si="559"/>
        <v>0</v>
      </c>
      <c r="Z977" s="14">
        <f t="shared" si="559"/>
        <v>35000</v>
      </c>
      <c r="AA977" s="14">
        <f t="shared" si="559"/>
        <v>0</v>
      </c>
      <c r="AB977" s="102"/>
      <c r="AC977" s="380">
        <f t="shared" si="523"/>
        <v>0</v>
      </c>
    </row>
    <row r="978" spans="1:36" s="422" customFormat="1" ht="28.5" customHeight="1">
      <c r="A978" s="495" t="s">
        <v>1311</v>
      </c>
      <c r="B978" s="394" t="s">
        <v>38</v>
      </c>
      <c r="C978" s="15" t="s">
        <v>974</v>
      </c>
      <c r="D978" s="722"/>
      <c r="E978" s="722"/>
      <c r="F978" s="722"/>
      <c r="G978" s="421"/>
      <c r="H978" s="722"/>
      <c r="I978" s="722"/>
      <c r="J978" s="453">
        <f>J980+J979</f>
        <v>118000</v>
      </c>
      <c r="K978" s="453">
        <f t="shared" ref="K978:AA978" si="560">K980+K979</f>
        <v>0</v>
      </c>
      <c r="L978" s="453">
        <f t="shared" si="560"/>
        <v>0</v>
      </c>
      <c r="M978" s="453">
        <f t="shared" si="560"/>
        <v>118000</v>
      </c>
      <c r="N978" s="453">
        <f t="shared" si="560"/>
        <v>49953</v>
      </c>
      <c r="O978" s="453">
        <f t="shared" si="560"/>
        <v>0</v>
      </c>
      <c r="P978" s="453">
        <f t="shared" si="560"/>
        <v>0</v>
      </c>
      <c r="Q978" s="453">
        <f t="shared" si="560"/>
        <v>49953</v>
      </c>
      <c r="R978" s="453">
        <f t="shared" si="560"/>
        <v>82089</v>
      </c>
      <c r="S978" s="453">
        <f t="shared" si="560"/>
        <v>0</v>
      </c>
      <c r="T978" s="453">
        <f t="shared" si="560"/>
        <v>0</v>
      </c>
      <c r="U978" s="453">
        <f t="shared" si="560"/>
        <v>82089</v>
      </c>
      <c r="V978" s="453">
        <f t="shared" si="560"/>
        <v>35911</v>
      </c>
      <c r="W978" s="453">
        <f t="shared" si="560"/>
        <v>35000</v>
      </c>
      <c r="X978" s="453">
        <f t="shared" si="560"/>
        <v>0</v>
      </c>
      <c r="Y978" s="453">
        <f t="shared" si="560"/>
        <v>0</v>
      </c>
      <c r="Z978" s="453">
        <f t="shared" si="560"/>
        <v>35000</v>
      </c>
      <c r="AA978" s="453">
        <f t="shared" si="560"/>
        <v>0</v>
      </c>
      <c r="AB978" s="454"/>
      <c r="AC978" s="380">
        <f t="shared" si="523"/>
        <v>0</v>
      </c>
    </row>
    <row r="979" spans="1:36" s="10" customFormat="1" ht="39.75" customHeight="1">
      <c r="A979" s="332" t="s">
        <v>39</v>
      </c>
      <c r="B979" s="326" t="s">
        <v>1254</v>
      </c>
      <c r="C979" s="15" t="s">
        <v>974</v>
      </c>
      <c r="D979" s="554"/>
      <c r="E979" s="332"/>
      <c r="F979" s="471"/>
      <c r="G979" s="471"/>
      <c r="H979" s="332"/>
      <c r="I979" s="471"/>
      <c r="J979" s="331"/>
      <c r="K979" s="331">
        <f>+K980</f>
        <v>0</v>
      </c>
      <c r="L979" s="331">
        <f>+L980</f>
        <v>0</v>
      </c>
      <c r="M979" s="331"/>
      <c r="N979" s="331"/>
      <c r="O979" s="331"/>
      <c r="P979" s="331"/>
      <c r="Q979" s="331"/>
      <c r="R979" s="331"/>
      <c r="S979" s="331"/>
      <c r="T979" s="331"/>
      <c r="U979" s="331"/>
      <c r="V979" s="331"/>
      <c r="W979" s="331"/>
      <c r="X979" s="331"/>
      <c r="Y979" s="331"/>
      <c r="Z979" s="331"/>
      <c r="AA979" s="331"/>
      <c r="AB979" s="332"/>
      <c r="AC979" s="380">
        <f t="shared" si="523"/>
        <v>0</v>
      </c>
    </row>
    <row r="980" spans="1:36" s="10" customFormat="1" ht="53.25" customHeight="1">
      <c r="A980" s="398" t="s">
        <v>467</v>
      </c>
      <c r="B980" s="326" t="s">
        <v>56</v>
      </c>
      <c r="C980" s="15" t="s">
        <v>974</v>
      </c>
      <c r="D980" s="473"/>
      <c r="E980" s="473"/>
      <c r="F980" s="473"/>
      <c r="G980" s="328"/>
      <c r="H980" s="473"/>
      <c r="I980" s="473"/>
      <c r="J980" s="436">
        <f t="shared" ref="J980:AA980" si="561">SUM(J981)</f>
        <v>118000</v>
      </c>
      <c r="K980" s="436">
        <f t="shared" si="561"/>
        <v>0</v>
      </c>
      <c r="L980" s="436">
        <f t="shared" si="561"/>
        <v>0</v>
      </c>
      <c r="M980" s="436">
        <f t="shared" si="561"/>
        <v>118000</v>
      </c>
      <c r="N980" s="436">
        <f t="shared" si="561"/>
        <v>49953</v>
      </c>
      <c r="O980" s="436">
        <f t="shared" si="561"/>
        <v>0</v>
      </c>
      <c r="P980" s="436">
        <f t="shared" si="561"/>
        <v>0</v>
      </c>
      <c r="Q980" s="436">
        <f t="shared" si="561"/>
        <v>49953</v>
      </c>
      <c r="R980" s="436">
        <f t="shared" si="561"/>
        <v>82089</v>
      </c>
      <c r="S980" s="436">
        <f t="shared" si="561"/>
        <v>0</v>
      </c>
      <c r="T980" s="436">
        <f t="shared" si="561"/>
        <v>0</v>
      </c>
      <c r="U980" s="436">
        <f t="shared" si="561"/>
        <v>82089</v>
      </c>
      <c r="V980" s="436">
        <f t="shared" si="561"/>
        <v>35911</v>
      </c>
      <c r="W980" s="436">
        <f t="shared" si="561"/>
        <v>35000</v>
      </c>
      <c r="X980" s="436">
        <f t="shared" si="561"/>
        <v>0</v>
      </c>
      <c r="Y980" s="436">
        <f t="shared" si="561"/>
        <v>0</v>
      </c>
      <c r="Z980" s="436">
        <f t="shared" si="561"/>
        <v>35000</v>
      </c>
      <c r="AA980" s="436">
        <f t="shared" si="561"/>
        <v>0</v>
      </c>
      <c r="AB980" s="437"/>
      <c r="AC980" s="380">
        <f t="shared" si="523"/>
        <v>0</v>
      </c>
    </row>
    <row r="981" spans="1:36" s="8" customFormat="1" ht="66" customHeight="1">
      <c r="A981" s="26" t="s">
        <v>144</v>
      </c>
      <c r="B981" s="27" t="s">
        <v>1148</v>
      </c>
      <c r="C981" s="15" t="s">
        <v>974</v>
      </c>
      <c r="D981" s="13">
        <v>8017852</v>
      </c>
      <c r="E981" s="13"/>
      <c r="F981" s="13" t="s">
        <v>976</v>
      </c>
      <c r="G981" s="13" t="s">
        <v>1149</v>
      </c>
      <c r="H981" s="13" t="s">
        <v>49</v>
      </c>
      <c r="I981" s="13" t="s">
        <v>1150</v>
      </c>
      <c r="J981" s="526">
        <v>118000</v>
      </c>
      <c r="K981" s="526"/>
      <c r="L981" s="526"/>
      <c r="M981" s="526">
        <v>118000</v>
      </c>
      <c r="N981" s="526">
        <v>49953</v>
      </c>
      <c r="O981" s="526"/>
      <c r="P981" s="526"/>
      <c r="Q981" s="526">
        <v>49953</v>
      </c>
      <c r="R981" s="526">
        <v>82089</v>
      </c>
      <c r="S981" s="526"/>
      <c r="T981" s="526"/>
      <c r="U981" s="526">
        <v>82089</v>
      </c>
      <c r="V981" s="526">
        <v>35911</v>
      </c>
      <c r="W981" s="526">
        <f>SUM(X981:AA981)</f>
        <v>35000</v>
      </c>
      <c r="X981" s="526"/>
      <c r="Y981" s="526"/>
      <c r="Z981" s="526">
        <v>35000</v>
      </c>
      <c r="AA981" s="526"/>
      <c r="AB981" s="91" t="s">
        <v>1622</v>
      </c>
      <c r="AC981" s="380">
        <f t="shared" si="523"/>
        <v>0</v>
      </c>
      <c r="AJ981" s="8" t="s">
        <v>685</v>
      </c>
    </row>
    <row r="982" spans="1:36" s="748" customFormat="1" ht="26.25" customHeight="1">
      <c r="A982" s="320" t="s">
        <v>375</v>
      </c>
      <c r="B982" s="441" t="s">
        <v>1304</v>
      </c>
      <c r="C982" s="320"/>
      <c r="D982" s="320"/>
      <c r="E982" s="320"/>
      <c r="F982" s="320"/>
      <c r="G982" s="320"/>
      <c r="H982" s="320"/>
      <c r="I982" s="441"/>
      <c r="J982" s="746">
        <f>J983+J988+J992+J996</f>
        <v>186836</v>
      </c>
      <c r="K982" s="746">
        <f t="shared" ref="K982:AA982" si="562">K983+K988+K992+K996</f>
        <v>0</v>
      </c>
      <c r="L982" s="746">
        <f t="shared" si="562"/>
        <v>44949</v>
      </c>
      <c r="M982" s="746">
        <f t="shared" si="562"/>
        <v>141887</v>
      </c>
      <c r="N982" s="746">
        <f t="shared" si="562"/>
        <v>96091</v>
      </c>
      <c r="O982" s="746">
        <f t="shared" si="562"/>
        <v>0</v>
      </c>
      <c r="P982" s="746">
        <f t="shared" si="562"/>
        <v>38999</v>
      </c>
      <c r="Q982" s="746">
        <f t="shared" si="562"/>
        <v>57092</v>
      </c>
      <c r="R982" s="746">
        <f t="shared" si="562"/>
        <v>98979</v>
      </c>
      <c r="S982" s="746">
        <f t="shared" si="562"/>
        <v>0</v>
      </c>
      <c r="T982" s="746">
        <f t="shared" si="562"/>
        <v>38999</v>
      </c>
      <c r="U982" s="746">
        <f t="shared" si="562"/>
        <v>59980</v>
      </c>
      <c r="V982" s="746">
        <f t="shared" si="562"/>
        <v>1150559</v>
      </c>
      <c r="W982" s="746">
        <f>W983+W988+W992+W996</f>
        <v>300559</v>
      </c>
      <c r="X982" s="746">
        <f t="shared" si="562"/>
        <v>0</v>
      </c>
      <c r="Y982" s="746">
        <f t="shared" si="562"/>
        <v>559</v>
      </c>
      <c r="Z982" s="746">
        <f t="shared" si="562"/>
        <v>300000</v>
      </c>
      <c r="AA982" s="746">
        <f t="shared" si="562"/>
        <v>0</v>
      </c>
      <c r="AB982" s="747"/>
      <c r="AC982" s="380">
        <f t="shared" si="523"/>
        <v>0</v>
      </c>
    </row>
    <row r="983" spans="1:36" s="748" customFormat="1" ht="42.75">
      <c r="A983" s="320">
        <v>1</v>
      </c>
      <c r="B983" s="441" t="s">
        <v>1231</v>
      </c>
      <c r="C983" s="441" t="s">
        <v>1231</v>
      </c>
      <c r="D983" s="320"/>
      <c r="E983" s="320"/>
      <c r="F983" s="320"/>
      <c r="G983" s="320"/>
      <c r="H983" s="320"/>
      <c r="I983" s="441"/>
      <c r="J983" s="746">
        <f t="shared" ref="J983:AA983" si="563">J984</f>
        <v>138370</v>
      </c>
      <c r="K983" s="746">
        <f t="shared" si="563"/>
        <v>0</v>
      </c>
      <c r="L983" s="746">
        <f t="shared" si="563"/>
        <v>0</v>
      </c>
      <c r="M983" s="746">
        <f t="shared" si="563"/>
        <v>138370</v>
      </c>
      <c r="N983" s="746">
        <f t="shared" si="563"/>
        <v>53537</v>
      </c>
      <c r="O983" s="746">
        <f t="shared" si="563"/>
        <v>0</v>
      </c>
      <c r="P983" s="746">
        <f t="shared" si="563"/>
        <v>0</v>
      </c>
      <c r="Q983" s="746">
        <f t="shared" si="563"/>
        <v>53537</v>
      </c>
      <c r="R983" s="746">
        <f t="shared" si="563"/>
        <v>53537</v>
      </c>
      <c r="S983" s="746">
        <f t="shared" si="563"/>
        <v>0</v>
      </c>
      <c r="T983" s="746">
        <f t="shared" si="563"/>
        <v>0</v>
      </c>
      <c r="U983" s="746">
        <f t="shared" si="563"/>
        <v>53537</v>
      </c>
      <c r="V983" s="746">
        <f t="shared" si="563"/>
        <v>50000</v>
      </c>
      <c r="W983" s="746">
        <f t="shared" si="563"/>
        <v>50000</v>
      </c>
      <c r="X983" s="746">
        <f t="shared" si="563"/>
        <v>0</v>
      </c>
      <c r="Y983" s="746">
        <f t="shared" si="563"/>
        <v>0</v>
      </c>
      <c r="Z983" s="746">
        <f t="shared" si="563"/>
        <v>50000</v>
      </c>
      <c r="AA983" s="746">
        <f t="shared" si="563"/>
        <v>0</v>
      </c>
      <c r="AB983" s="747"/>
      <c r="AC983" s="380">
        <f t="shared" si="523"/>
        <v>0</v>
      </c>
    </row>
    <row r="984" spans="1:36" s="739" customFormat="1" ht="24.75" customHeight="1">
      <c r="A984" s="421" t="s">
        <v>1305</v>
      </c>
      <c r="B984" s="443" t="s">
        <v>38</v>
      </c>
      <c r="C984" s="27" t="s">
        <v>1231</v>
      </c>
      <c r="D984" s="421"/>
      <c r="E984" s="421"/>
      <c r="F984" s="421"/>
      <c r="G984" s="421"/>
      <c r="H984" s="421"/>
      <c r="I984" s="443"/>
      <c r="J984" s="749">
        <f>J986+J985</f>
        <v>138370</v>
      </c>
      <c r="K984" s="749">
        <f t="shared" ref="K984:AA984" si="564">K986+K985</f>
        <v>0</v>
      </c>
      <c r="L984" s="749">
        <f t="shared" si="564"/>
        <v>0</v>
      </c>
      <c r="M984" s="749">
        <f t="shared" si="564"/>
        <v>138370</v>
      </c>
      <c r="N984" s="749">
        <f t="shared" si="564"/>
        <v>53537</v>
      </c>
      <c r="O984" s="749">
        <f t="shared" si="564"/>
        <v>0</v>
      </c>
      <c r="P984" s="749">
        <f t="shared" si="564"/>
        <v>0</v>
      </c>
      <c r="Q984" s="749">
        <f t="shared" si="564"/>
        <v>53537</v>
      </c>
      <c r="R984" s="749">
        <f t="shared" si="564"/>
        <v>53537</v>
      </c>
      <c r="S984" s="749">
        <f t="shared" si="564"/>
        <v>0</v>
      </c>
      <c r="T984" s="749">
        <f t="shared" si="564"/>
        <v>0</v>
      </c>
      <c r="U984" s="749">
        <f t="shared" si="564"/>
        <v>53537</v>
      </c>
      <c r="V984" s="749">
        <f t="shared" si="564"/>
        <v>50000</v>
      </c>
      <c r="W984" s="749">
        <f t="shared" si="564"/>
        <v>50000</v>
      </c>
      <c r="X984" s="749">
        <f t="shared" si="564"/>
        <v>0</v>
      </c>
      <c r="Y984" s="749">
        <f t="shared" si="564"/>
        <v>0</v>
      </c>
      <c r="Z984" s="749">
        <f t="shared" si="564"/>
        <v>50000</v>
      </c>
      <c r="AA984" s="749">
        <f t="shared" si="564"/>
        <v>0</v>
      </c>
      <c r="AB984" s="750"/>
      <c r="AC984" s="380">
        <f t="shared" si="523"/>
        <v>0</v>
      </c>
    </row>
    <row r="985" spans="1:36" s="10" customFormat="1" ht="39.75" customHeight="1">
      <c r="A985" s="332" t="s">
        <v>39</v>
      </c>
      <c r="B985" s="326" t="s">
        <v>1254</v>
      </c>
      <c r="C985" s="27" t="s">
        <v>1231</v>
      </c>
      <c r="D985" s="554"/>
      <c r="E985" s="332"/>
      <c r="F985" s="471"/>
      <c r="G985" s="471"/>
      <c r="H985" s="332"/>
      <c r="I985" s="471"/>
      <c r="J985" s="331"/>
      <c r="K985" s="331">
        <f>+K986</f>
        <v>0</v>
      </c>
      <c r="L985" s="331">
        <f>+L986</f>
        <v>0</v>
      </c>
      <c r="M985" s="331"/>
      <c r="N985" s="331"/>
      <c r="O985" s="331"/>
      <c r="P985" s="331"/>
      <c r="Q985" s="331"/>
      <c r="R985" s="331"/>
      <c r="S985" s="331"/>
      <c r="T985" s="331"/>
      <c r="U985" s="331"/>
      <c r="V985" s="331"/>
      <c r="W985" s="331"/>
      <c r="X985" s="331"/>
      <c r="Y985" s="331"/>
      <c r="Z985" s="331"/>
      <c r="AA985" s="331"/>
      <c r="AB985" s="332"/>
      <c r="AC985" s="380">
        <f t="shared" si="523"/>
        <v>0</v>
      </c>
    </row>
    <row r="986" spans="1:36" s="753" customFormat="1" ht="45">
      <c r="A986" s="328" t="s">
        <v>467</v>
      </c>
      <c r="B986" s="492" t="s">
        <v>56</v>
      </c>
      <c r="C986" s="27" t="s">
        <v>1231</v>
      </c>
      <c r="D986" s="328"/>
      <c r="E986" s="328"/>
      <c r="F986" s="328"/>
      <c r="G986" s="328"/>
      <c r="H986" s="328"/>
      <c r="I986" s="492"/>
      <c r="J986" s="751">
        <f t="shared" ref="J986:V986" si="565">SUM(J987)</f>
        <v>138370</v>
      </c>
      <c r="K986" s="751">
        <f t="shared" si="565"/>
        <v>0</v>
      </c>
      <c r="L986" s="751">
        <f t="shared" si="565"/>
        <v>0</v>
      </c>
      <c r="M986" s="751">
        <f t="shared" si="565"/>
        <v>138370</v>
      </c>
      <c r="N986" s="751">
        <f t="shared" si="565"/>
        <v>53537</v>
      </c>
      <c r="O986" s="751">
        <f t="shared" si="565"/>
        <v>0</v>
      </c>
      <c r="P986" s="751">
        <f t="shared" si="565"/>
        <v>0</v>
      </c>
      <c r="Q986" s="751">
        <f t="shared" si="565"/>
        <v>53537</v>
      </c>
      <c r="R986" s="751">
        <f t="shared" si="565"/>
        <v>53537</v>
      </c>
      <c r="S986" s="751">
        <f t="shared" si="565"/>
        <v>0</v>
      </c>
      <c r="T986" s="751">
        <f t="shared" si="565"/>
        <v>0</v>
      </c>
      <c r="U986" s="751">
        <f t="shared" si="565"/>
        <v>53537</v>
      </c>
      <c r="V986" s="751">
        <f t="shared" si="565"/>
        <v>50000</v>
      </c>
      <c r="W986" s="751">
        <f>W987</f>
        <v>50000</v>
      </c>
      <c r="X986" s="751">
        <f t="shared" ref="X986:AA986" si="566">X987</f>
        <v>0</v>
      </c>
      <c r="Y986" s="751">
        <f t="shared" si="566"/>
        <v>0</v>
      </c>
      <c r="Z986" s="751">
        <f t="shared" si="566"/>
        <v>50000</v>
      </c>
      <c r="AA986" s="751">
        <f t="shared" si="566"/>
        <v>0</v>
      </c>
      <c r="AB986" s="752"/>
      <c r="AC986" s="380">
        <f t="shared" si="523"/>
        <v>0</v>
      </c>
    </row>
    <row r="987" spans="1:36" s="7" customFormat="1" ht="60">
      <c r="A987" s="32" t="s">
        <v>144</v>
      </c>
      <c r="B987" s="27" t="s">
        <v>1174</v>
      </c>
      <c r="C987" s="27" t="s">
        <v>1231</v>
      </c>
      <c r="D987" s="13">
        <v>8071727</v>
      </c>
      <c r="E987" s="13"/>
      <c r="F987" s="13" t="s">
        <v>937</v>
      </c>
      <c r="G987" s="13"/>
      <c r="H987" s="13" t="s">
        <v>49</v>
      </c>
      <c r="I987" s="13" t="s">
        <v>1175</v>
      </c>
      <c r="J987" s="526">
        <v>138370</v>
      </c>
      <c r="K987" s="526"/>
      <c r="L987" s="526"/>
      <c r="M987" s="526">
        <v>138370</v>
      </c>
      <c r="N987" s="526">
        <v>53537</v>
      </c>
      <c r="O987" s="526"/>
      <c r="P987" s="526"/>
      <c r="Q987" s="526">
        <v>53537</v>
      </c>
      <c r="R987" s="526">
        <v>53537</v>
      </c>
      <c r="S987" s="526"/>
      <c r="T987" s="526"/>
      <c r="U987" s="526">
        <v>53537</v>
      </c>
      <c r="V987" s="526">
        <v>50000</v>
      </c>
      <c r="W987" s="526">
        <f>SUM(X987:AA987)</f>
        <v>50000</v>
      </c>
      <c r="X987" s="526"/>
      <c r="Y987" s="526"/>
      <c r="Z987" s="526">
        <v>50000</v>
      </c>
      <c r="AA987" s="526"/>
      <c r="AB987" s="91" t="s">
        <v>1639</v>
      </c>
      <c r="AC987" s="380">
        <f t="shared" si="523"/>
        <v>0</v>
      </c>
      <c r="AJ987" s="7" t="s">
        <v>685</v>
      </c>
    </row>
    <row r="988" spans="1:36" s="501" customFormat="1" ht="28.5" customHeight="1">
      <c r="A988" s="485">
        <v>2</v>
      </c>
      <c r="B988" s="441" t="s">
        <v>1299</v>
      </c>
      <c r="C988" s="441" t="s">
        <v>1299</v>
      </c>
      <c r="D988" s="320"/>
      <c r="E988" s="320"/>
      <c r="F988" s="320"/>
      <c r="G988" s="320"/>
      <c r="H988" s="320"/>
      <c r="I988" s="320"/>
      <c r="J988" s="527">
        <f>J989</f>
        <v>3517</v>
      </c>
      <c r="K988" s="527">
        <f t="shared" ref="K988:AA988" si="567">K989</f>
        <v>0</v>
      </c>
      <c r="L988" s="527">
        <f t="shared" si="567"/>
        <v>0</v>
      </c>
      <c r="M988" s="527">
        <f t="shared" si="567"/>
        <v>3517</v>
      </c>
      <c r="N988" s="527">
        <f t="shared" si="567"/>
        <v>0</v>
      </c>
      <c r="O988" s="527">
        <f t="shared" si="567"/>
        <v>0</v>
      </c>
      <c r="P988" s="527">
        <f t="shared" si="567"/>
        <v>0</v>
      </c>
      <c r="Q988" s="527">
        <f t="shared" si="567"/>
        <v>0</v>
      </c>
      <c r="R988" s="527">
        <f t="shared" si="567"/>
        <v>2888</v>
      </c>
      <c r="S988" s="527">
        <f t="shared" si="567"/>
        <v>0</v>
      </c>
      <c r="T988" s="527">
        <f t="shared" si="567"/>
        <v>0</v>
      </c>
      <c r="U988" s="527">
        <f t="shared" si="567"/>
        <v>2888</v>
      </c>
      <c r="V988" s="527">
        <f t="shared" si="567"/>
        <v>259</v>
      </c>
      <c r="W988" s="527">
        <f t="shared" si="567"/>
        <v>259</v>
      </c>
      <c r="X988" s="527">
        <f t="shared" si="567"/>
        <v>0</v>
      </c>
      <c r="Y988" s="527">
        <f t="shared" si="567"/>
        <v>259</v>
      </c>
      <c r="Z988" s="527">
        <f t="shared" si="567"/>
        <v>0</v>
      </c>
      <c r="AA988" s="527">
        <f t="shared" si="567"/>
        <v>0</v>
      </c>
      <c r="AB988" s="482"/>
      <c r="AC988" s="380">
        <f t="shared" si="523"/>
        <v>0</v>
      </c>
    </row>
    <row r="989" spans="1:36" s="739" customFormat="1" ht="24.75" customHeight="1">
      <c r="A989" s="421" t="s">
        <v>1287</v>
      </c>
      <c r="B989" s="443" t="s">
        <v>38</v>
      </c>
      <c r="C989" s="27" t="s">
        <v>1299</v>
      </c>
      <c r="D989" s="421"/>
      <c r="E989" s="421"/>
      <c r="F989" s="421"/>
      <c r="G989" s="421"/>
      <c r="H989" s="421"/>
      <c r="I989" s="443"/>
      <c r="J989" s="749">
        <f>+J990</f>
        <v>3517</v>
      </c>
      <c r="K989" s="749">
        <f t="shared" ref="K989:AA989" si="568">+K990</f>
        <v>0</v>
      </c>
      <c r="L989" s="749">
        <f t="shared" si="568"/>
        <v>0</v>
      </c>
      <c r="M989" s="749">
        <f t="shared" si="568"/>
        <v>3517</v>
      </c>
      <c r="N989" s="749">
        <f t="shared" si="568"/>
        <v>0</v>
      </c>
      <c r="O989" s="749">
        <f t="shared" si="568"/>
        <v>0</v>
      </c>
      <c r="P989" s="749">
        <f t="shared" si="568"/>
        <v>0</v>
      </c>
      <c r="Q989" s="749">
        <f t="shared" si="568"/>
        <v>0</v>
      </c>
      <c r="R989" s="749">
        <f t="shared" si="568"/>
        <v>2888</v>
      </c>
      <c r="S989" s="749">
        <f t="shared" si="568"/>
        <v>0</v>
      </c>
      <c r="T989" s="749">
        <f t="shared" si="568"/>
        <v>0</v>
      </c>
      <c r="U989" s="749">
        <f t="shared" si="568"/>
        <v>2888</v>
      </c>
      <c r="V989" s="749">
        <f t="shared" si="568"/>
        <v>259</v>
      </c>
      <c r="W989" s="749">
        <f t="shared" si="568"/>
        <v>259</v>
      </c>
      <c r="X989" s="749">
        <f t="shared" si="568"/>
        <v>0</v>
      </c>
      <c r="Y989" s="749">
        <f t="shared" si="568"/>
        <v>259</v>
      </c>
      <c r="Z989" s="749">
        <f t="shared" si="568"/>
        <v>0</v>
      </c>
      <c r="AA989" s="749">
        <f t="shared" si="568"/>
        <v>0</v>
      </c>
      <c r="AB989" s="750"/>
      <c r="AC989" s="380">
        <f t="shared" si="523"/>
        <v>0</v>
      </c>
    </row>
    <row r="990" spans="1:36" s="10" customFormat="1" ht="39.75" customHeight="1">
      <c r="A990" s="332" t="s">
        <v>39</v>
      </c>
      <c r="B990" s="326" t="s">
        <v>1254</v>
      </c>
      <c r="C990" s="27" t="s">
        <v>1299</v>
      </c>
      <c r="D990" s="554"/>
      <c r="E990" s="332"/>
      <c r="F990" s="471"/>
      <c r="G990" s="471"/>
      <c r="H990" s="332"/>
      <c r="I990" s="471"/>
      <c r="J990" s="331">
        <f>+J991</f>
        <v>3517</v>
      </c>
      <c r="K990" s="331">
        <f t="shared" ref="K990:V990" si="569">+K991</f>
        <v>0</v>
      </c>
      <c r="L990" s="331">
        <f t="shared" si="569"/>
        <v>0</v>
      </c>
      <c r="M990" s="331">
        <f t="shared" si="569"/>
        <v>3517</v>
      </c>
      <c r="N990" s="331">
        <f t="shared" si="569"/>
        <v>0</v>
      </c>
      <c r="O990" s="331">
        <f t="shared" si="569"/>
        <v>0</v>
      </c>
      <c r="P990" s="331">
        <f t="shared" si="569"/>
        <v>0</v>
      </c>
      <c r="Q990" s="331">
        <f t="shared" si="569"/>
        <v>0</v>
      </c>
      <c r="R990" s="331">
        <f t="shared" si="569"/>
        <v>2888</v>
      </c>
      <c r="S990" s="331">
        <f t="shared" si="569"/>
        <v>0</v>
      </c>
      <c r="T990" s="331">
        <f t="shared" si="569"/>
        <v>0</v>
      </c>
      <c r="U990" s="331">
        <f t="shared" si="569"/>
        <v>2888</v>
      </c>
      <c r="V990" s="331">
        <f t="shared" si="569"/>
        <v>259</v>
      </c>
      <c r="W990" s="331">
        <f>W991</f>
        <v>259</v>
      </c>
      <c r="X990" s="331">
        <f t="shared" ref="X990:AA990" si="570">X991</f>
        <v>0</v>
      </c>
      <c r="Y990" s="331">
        <f t="shared" si="570"/>
        <v>259</v>
      </c>
      <c r="Z990" s="331">
        <f t="shared" si="570"/>
        <v>0</v>
      </c>
      <c r="AA990" s="331">
        <f t="shared" si="570"/>
        <v>0</v>
      </c>
      <c r="AB990" s="332"/>
      <c r="AC990" s="380">
        <f t="shared" ref="AC990:AC1006" si="571">+W990-X990-Y990-Z990</f>
        <v>0</v>
      </c>
    </row>
    <row r="991" spans="1:36" s="501" customFormat="1" ht="42" customHeight="1">
      <c r="A991" s="485" t="s">
        <v>144</v>
      </c>
      <c r="B991" s="42" t="s">
        <v>1302</v>
      </c>
      <c r="C991" s="27" t="s">
        <v>1299</v>
      </c>
      <c r="D991" s="13">
        <v>7986114</v>
      </c>
      <c r="E991" s="320"/>
      <c r="F991" s="320"/>
      <c r="G991" s="320"/>
      <c r="H991" s="320"/>
      <c r="I991" s="13" t="s">
        <v>1300</v>
      </c>
      <c r="J991" s="754">
        <v>3517</v>
      </c>
      <c r="K991" s="527"/>
      <c r="L991" s="527"/>
      <c r="M991" s="754">
        <v>3517</v>
      </c>
      <c r="N991" s="527"/>
      <c r="O991" s="527"/>
      <c r="P991" s="527"/>
      <c r="Q991" s="527"/>
      <c r="R991" s="97">
        <v>2888</v>
      </c>
      <c r="S991" s="527"/>
      <c r="T991" s="527"/>
      <c r="U991" s="97">
        <v>2888</v>
      </c>
      <c r="V991" s="96">
        <v>259</v>
      </c>
      <c r="W991" s="96">
        <f>SUM(X991:AA991)</f>
        <v>259</v>
      </c>
      <c r="X991" s="96"/>
      <c r="Y991" s="96">
        <v>259</v>
      </c>
      <c r="Z991" s="96"/>
      <c r="AA991" s="96"/>
      <c r="AB991" s="13" t="s">
        <v>1301</v>
      </c>
      <c r="AC991" s="380">
        <f t="shared" si="571"/>
        <v>0</v>
      </c>
      <c r="AJ991" s="555" t="s">
        <v>1308</v>
      </c>
    </row>
    <row r="992" spans="1:36" s="231" customFormat="1" ht="32.25" customHeight="1">
      <c r="A992" s="648">
        <v>3</v>
      </c>
      <c r="B992" s="441" t="s">
        <v>55</v>
      </c>
      <c r="C992" s="441" t="s">
        <v>55</v>
      </c>
      <c r="D992" s="320"/>
      <c r="E992" s="320"/>
      <c r="F992" s="320"/>
      <c r="G992" s="320"/>
      <c r="H992" s="320"/>
      <c r="I992" s="320"/>
      <c r="J992" s="527">
        <f>+J993</f>
        <v>44949</v>
      </c>
      <c r="K992" s="527">
        <f t="shared" ref="K992:AA994" si="572">+K993</f>
        <v>0</v>
      </c>
      <c r="L992" s="527">
        <f t="shared" si="572"/>
        <v>44949</v>
      </c>
      <c r="M992" s="527">
        <f t="shared" si="572"/>
        <v>0</v>
      </c>
      <c r="N992" s="527">
        <f t="shared" si="572"/>
        <v>42554</v>
      </c>
      <c r="O992" s="527">
        <f t="shared" si="572"/>
        <v>0</v>
      </c>
      <c r="P992" s="527">
        <f t="shared" si="572"/>
        <v>38999</v>
      </c>
      <c r="Q992" s="527">
        <f t="shared" si="572"/>
        <v>3555</v>
      </c>
      <c r="R992" s="527">
        <f t="shared" si="572"/>
        <v>42554</v>
      </c>
      <c r="S992" s="527">
        <f t="shared" si="572"/>
        <v>0</v>
      </c>
      <c r="T992" s="527">
        <f t="shared" si="572"/>
        <v>38999</v>
      </c>
      <c r="U992" s="527">
        <f t="shared" si="572"/>
        <v>3555</v>
      </c>
      <c r="V992" s="527">
        <f t="shared" si="572"/>
        <v>300</v>
      </c>
      <c r="W992" s="527">
        <f t="shared" si="572"/>
        <v>300</v>
      </c>
      <c r="X992" s="527">
        <f t="shared" si="572"/>
        <v>0</v>
      </c>
      <c r="Y992" s="527">
        <f t="shared" si="572"/>
        <v>300</v>
      </c>
      <c r="Z992" s="527">
        <f t="shared" si="572"/>
        <v>0</v>
      </c>
      <c r="AA992" s="527">
        <f t="shared" si="572"/>
        <v>0</v>
      </c>
      <c r="AB992" s="482"/>
      <c r="AC992" s="380">
        <f t="shared" si="571"/>
        <v>0</v>
      </c>
    </row>
    <row r="993" spans="1:36" s="422" customFormat="1" ht="24.75" customHeight="1">
      <c r="A993" s="714" t="s">
        <v>1288</v>
      </c>
      <c r="B993" s="443" t="s">
        <v>38</v>
      </c>
      <c r="C993" s="27" t="s">
        <v>55</v>
      </c>
      <c r="D993" s="421"/>
      <c r="E993" s="421"/>
      <c r="F993" s="421"/>
      <c r="G993" s="421"/>
      <c r="H993" s="421"/>
      <c r="I993" s="421"/>
      <c r="J993" s="556">
        <f>+J994</f>
        <v>44949</v>
      </c>
      <c r="K993" s="556">
        <f t="shared" si="572"/>
        <v>0</v>
      </c>
      <c r="L993" s="556">
        <f t="shared" si="572"/>
        <v>44949</v>
      </c>
      <c r="M993" s="556">
        <f t="shared" si="572"/>
        <v>0</v>
      </c>
      <c r="N993" s="556">
        <f t="shared" si="572"/>
        <v>42554</v>
      </c>
      <c r="O993" s="556">
        <f t="shared" si="572"/>
        <v>0</v>
      </c>
      <c r="P993" s="556">
        <f t="shared" si="572"/>
        <v>38999</v>
      </c>
      <c r="Q993" s="556">
        <f t="shared" si="572"/>
        <v>3555</v>
      </c>
      <c r="R993" s="556">
        <f t="shared" si="572"/>
        <v>42554</v>
      </c>
      <c r="S993" s="556">
        <f t="shared" si="572"/>
        <v>0</v>
      </c>
      <c r="T993" s="556">
        <f t="shared" si="572"/>
        <v>38999</v>
      </c>
      <c r="U993" s="556">
        <f t="shared" si="572"/>
        <v>3555</v>
      </c>
      <c r="V993" s="556">
        <f t="shared" si="572"/>
        <v>300</v>
      </c>
      <c r="W993" s="556">
        <f t="shared" si="572"/>
        <v>300</v>
      </c>
      <c r="X993" s="556">
        <f t="shared" si="572"/>
        <v>0</v>
      </c>
      <c r="Y993" s="556">
        <f t="shared" si="572"/>
        <v>300</v>
      </c>
      <c r="Z993" s="556">
        <f t="shared" si="572"/>
        <v>0</v>
      </c>
      <c r="AA993" s="556">
        <f t="shared" si="572"/>
        <v>0</v>
      </c>
      <c r="AB993" s="484"/>
      <c r="AC993" s="380">
        <f t="shared" si="571"/>
        <v>0</v>
      </c>
    </row>
    <row r="994" spans="1:36" s="10" customFormat="1" ht="30" customHeight="1">
      <c r="A994" s="332" t="s">
        <v>39</v>
      </c>
      <c r="B994" s="326" t="s">
        <v>1254</v>
      </c>
      <c r="C994" s="27" t="s">
        <v>55</v>
      </c>
      <c r="D994" s="554"/>
      <c r="E994" s="332"/>
      <c r="F994" s="471"/>
      <c r="G994" s="471"/>
      <c r="H994" s="332"/>
      <c r="I994" s="471"/>
      <c r="J994" s="331">
        <f>+J995</f>
        <v>44949</v>
      </c>
      <c r="K994" s="331">
        <f t="shared" si="572"/>
        <v>0</v>
      </c>
      <c r="L994" s="331">
        <f t="shared" si="572"/>
        <v>44949</v>
      </c>
      <c r="M994" s="331">
        <f t="shared" si="572"/>
        <v>0</v>
      </c>
      <c r="N994" s="331">
        <f t="shared" si="572"/>
        <v>42554</v>
      </c>
      <c r="O994" s="331">
        <f t="shared" si="572"/>
        <v>0</v>
      </c>
      <c r="P994" s="331">
        <f t="shared" si="572"/>
        <v>38999</v>
      </c>
      <c r="Q994" s="331">
        <f t="shared" si="572"/>
        <v>3555</v>
      </c>
      <c r="R994" s="331">
        <f t="shared" si="572"/>
        <v>42554</v>
      </c>
      <c r="S994" s="331">
        <f t="shared" si="572"/>
        <v>0</v>
      </c>
      <c r="T994" s="331">
        <f t="shared" si="572"/>
        <v>38999</v>
      </c>
      <c r="U994" s="331">
        <f t="shared" si="572"/>
        <v>3555</v>
      </c>
      <c r="V994" s="331">
        <f t="shared" si="572"/>
        <v>300</v>
      </c>
      <c r="W994" s="331">
        <f t="shared" si="572"/>
        <v>300</v>
      </c>
      <c r="X994" s="331">
        <f t="shared" si="572"/>
        <v>0</v>
      </c>
      <c r="Y994" s="331">
        <f t="shared" si="572"/>
        <v>300</v>
      </c>
      <c r="Z994" s="331">
        <f t="shared" si="572"/>
        <v>0</v>
      </c>
      <c r="AA994" s="331">
        <f t="shared" si="572"/>
        <v>0</v>
      </c>
      <c r="AB994" s="332"/>
      <c r="AC994" s="380">
        <f t="shared" si="571"/>
        <v>0</v>
      </c>
    </row>
    <row r="995" spans="1:36" s="8" customFormat="1" ht="68.25" customHeight="1">
      <c r="A995" s="26" t="s">
        <v>144</v>
      </c>
      <c r="B995" s="27" t="s">
        <v>1620</v>
      </c>
      <c r="C995" s="27" t="s">
        <v>55</v>
      </c>
      <c r="D995" s="13">
        <v>7155335</v>
      </c>
      <c r="E995" s="13"/>
      <c r="F995" s="13" t="s">
        <v>754</v>
      </c>
      <c r="G995" s="13"/>
      <c r="H995" s="13" t="s">
        <v>1144</v>
      </c>
      <c r="I995" s="13" t="s">
        <v>1145</v>
      </c>
      <c r="J995" s="526">
        <v>44949</v>
      </c>
      <c r="K995" s="526"/>
      <c r="L995" s="526">
        <v>44949</v>
      </c>
      <c r="M995" s="526"/>
      <c r="N995" s="526">
        <v>42554</v>
      </c>
      <c r="O995" s="526"/>
      <c r="P995" s="526">
        <v>38999</v>
      </c>
      <c r="Q995" s="526">
        <v>3555</v>
      </c>
      <c r="R995" s="526">
        <v>42554</v>
      </c>
      <c r="S995" s="526"/>
      <c r="T995" s="526">
        <v>38999</v>
      </c>
      <c r="U995" s="526">
        <v>3555</v>
      </c>
      <c r="V995" s="407">
        <v>300</v>
      </c>
      <c r="W995" s="526">
        <f>SUM(X995:AA995)</f>
        <v>300</v>
      </c>
      <c r="X995" s="526"/>
      <c r="Y995" s="526">
        <v>300</v>
      </c>
      <c r="Z995" s="526"/>
      <c r="AA995" s="526"/>
      <c r="AB995" s="91" t="s">
        <v>1308</v>
      </c>
      <c r="AC995" s="380">
        <f t="shared" si="571"/>
        <v>0</v>
      </c>
      <c r="AJ995" s="555" t="s">
        <v>1308</v>
      </c>
    </row>
    <row r="996" spans="1:36" s="501" customFormat="1" ht="41.25" customHeight="1">
      <c r="A996" s="389">
        <v>4</v>
      </c>
      <c r="B996" s="441" t="s">
        <v>1253</v>
      </c>
      <c r="C996" s="320"/>
      <c r="D996" s="475"/>
      <c r="E996" s="475"/>
      <c r="F996" s="475"/>
      <c r="G996" s="475"/>
      <c r="H996" s="475"/>
      <c r="I996" s="475"/>
      <c r="J996" s="475"/>
      <c r="K996" s="475"/>
      <c r="L996" s="475"/>
      <c r="M996" s="475"/>
      <c r="N996" s="475"/>
      <c r="O996" s="475"/>
      <c r="P996" s="475"/>
      <c r="Q996" s="475"/>
      <c r="R996" s="475"/>
      <c r="S996" s="475"/>
      <c r="T996" s="475"/>
      <c r="U996" s="475"/>
      <c r="V996" s="109">
        <v>1100000</v>
      </c>
      <c r="W996" s="109">
        <f t="shared" ref="W996" si="573">SUM(X996:AA996)</f>
        <v>250000</v>
      </c>
      <c r="X996" s="109"/>
      <c r="Y996" s="109"/>
      <c r="Z996" s="109">
        <f>350000-100000</f>
        <v>250000</v>
      </c>
      <c r="AA996" s="109"/>
      <c r="AB996" s="389"/>
      <c r="AC996" s="380">
        <f t="shared" si="571"/>
        <v>0</v>
      </c>
      <c r="AJ996" s="501" t="s">
        <v>1824</v>
      </c>
    </row>
    <row r="997" spans="1:36" s="231" customFormat="1" ht="35.25" customHeight="1">
      <c r="A997" s="389" t="s">
        <v>376</v>
      </c>
      <c r="B997" s="441" t="s">
        <v>1640</v>
      </c>
      <c r="C997" s="441"/>
      <c r="D997" s="320"/>
      <c r="E997" s="320"/>
      <c r="F997" s="320"/>
      <c r="G997" s="320"/>
      <c r="H997" s="320"/>
      <c r="I997" s="320"/>
      <c r="J997" s="527">
        <f t="shared" ref="J997" si="574">J998</f>
        <v>199911</v>
      </c>
      <c r="K997" s="527">
        <f t="shared" ref="K997" si="575">K998</f>
        <v>0</v>
      </c>
      <c r="L997" s="527">
        <f t="shared" ref="L997" si="576">L998</f>
        <v>0</v>
      </c>
      <c r="M997" s="527">
        <f t="shared" ref="M997" si="577">M998</f>
        <v>199911</v>
      </c>
      <c r="N997" s="527">
        <f t="shared" ref="N997" si="578">N998</f>
        <v>179900</v>
      </c>
      <c r="O997" s="527">
        <f t="shared" ref="O997" si="579">O998</f>
        <v>0</v>
      </c>
      <c r="P997" s="527">
        <f t="shared" ref="P997" si="580">P998</f>
        <v>0</v>
      </c>
      <c r="Q997" s="527">
        <f t="shared" ref="Q997" si="581">Q998</f>
        <v>179900</v>
      </c>
      <c r="R997" s="527">
        <f t="shared" ref="R997" si="582">R998</f>
        <v>179900</v>
      </c>
      <c r="S997" s="527">
        <f t="shared" ref="S997" si="583">S998</f>
        <v>0</v>
      </c>
      <c r="T997" s="527">
        <f t="shared" ref="T997" si="584">T998</f>
        <v>0</v>
      </c>
      <c r="U997" s="527">
        <f t="shared" ref="U997" si="585">U998</f>
        <v>179900</v>
      </c>
      <c r="V997" s="527">
        <f t="shared" ref="V997" si="586">V998</f>
        <v>20011</v>
      </c>
      <c r="W997" s="527">
        <f>W998</f>
        <v>20011</v>
      </c>
      <c r="X997" s="527">
        <f t="shared" ref="X997" si="587">X998</f>
        <v>0</v>
      </c>
      <c r="Y997" s="527">
        <f t="shared" ref="Y997" si="588">Y998</f>
        <v>0</v>
      </c>
      <c r="Z997" s="527">
        <f t="shared" ref="Z997" si="589">Z998</f>
        <v>20011</v>
      </c>
      <c r="AA997" s="527">
        <f t="shared" ref="AA997" si="590">AA998</f>
        <v>0</v>
      </c>
      <c r="AB997" s="102"/>
      <c r="AC997" s="380">
        <f t="shared" si="571"/>
        <v>0</v>
      </c>
    </row>
    <row r="998" spans="1:36" s="231" customFormat="1" ht="24" customHeight="1">
      <c r="A998" s="648">
        <v>1</v>
      </c>
      <c r="B998" s="441" t="s">
        <v>1641</v>
      </c>
      <c r="C998" s="441"/>
      <c r="D998" s="320"/>
      <c r="E998" s="320"/>
      <c r="F998" s="320"/>
      <c r="G998" s="320"/>
      <c r="H998" s="320"/>
      <c r="I998" s="320"/>
      <c r="J998" s="527">
        <f>+J999</f>
        <v>199911</v>
      </c>
      <c r="K998" s="527">
        <f t="shared" ref="K998:AA998" si="591">+K999</f>
        <v>0</v>
      </c>
      <c r="L998" s="527">
        <f t="shared" si="591"/>
        <v>0</v>
      </c>
      <c r="M998" s="527">
        <f t="shared" si="591"/>
        <v>199911</v>
      </c>
      <c r="N998" s="527">
        <f t="shared" si="591"/>
        <v>179900</v>
      </c>
      <c r="O998" s="527">
        <f t="shared" si="591"/>
        <v>0</v>
      </c>
      <c r="P998" s="527">
        <f t="shared" si="591"/>
        <v>0</v>
      </c>
      <c r="Q998" s="527">
        <f t="shared" si="591"/>
        <v>179900</v>
      </c>
      <c r="R998" s="527">
        <f t="shared" si="591"/>
        <v>179900</v>
      </c>
      <c r="S998" s="527">
        <f t="shared" si="591"/>
        <v>0</v>
      </c>
      <c r="T998" s="527">
        <f t="shared" si="591"/>
        <v>0</v>
      </c>
      <c r="U998" s="527">
        <f t="shared" si="591"/>
        <v>179900</v>
      </c>
      <c r="V998" s="527">
        <f t="shared" si="591"/>
        <v>20011</v>
      </c>
      <c r="W998" s="527">
        <f t="shared" si="591"/>
        <v>20011</v>
      </c>
      <c r="X998" s="527">
        <f t="shared" si="591"/>
        <v>0</v>
      </c>
      <c r="Y998" s="527">
        <f t="shared" si="591"/>
        <v>0</v>
      </c>
      <c r="Z998" s="527">
        <f t="shared" si="591"/>
        <v>20011</v>
      </c>
      <c r="AA998" s="527">
        <f t="shared" si="591"/>
        <v>0</v>
      </c>
      <c r="AB998" s="102"/>
      <c r="AC998" s="380">
        <f t="shared" si="571"/>
        <v>0</v>
      </c>
    </row>
    <row r="999" spans="1:36" s="422" customFormat="1" ht="24.75" customHeight="1">
      <c r="A999" s="714" t="s">
        <v>1305</v>
      </c>
      <c r="B999" s="443" t="s">
        <v>38</v>
      </c>
      <c r="C999" s="27" t="s">
        <v>55</v>
      </c>
      <c r="D999" s="421"/>
      <c r="E999" s="421"/>
      <c r="F999" s="421"/>
      <c r="G999" s="421"/>
      <c r="H999" s="421"/>
      <c r="I999" s="421"/>
      <c r="J999" s="556">
        <f>+J1000+J1001</f>
        <v>199911</v>
      </c>
      <c r="K999" s="556">
        <f t="shared" ref="K999:AB999" si="592">+K1000+K1001</f>
        <v>0</v>
      </c>
      <c r="L999" s="556">
        <f t="shared" si="592"/>
        <v>0</v>
      </c>
      <c r="M999" s="556">
        <f t="shared" si="592"/>
        <v>199911</v>
      </c>
      <c r="N999" s="556">
        <f t="shared" si="592"/>
        <v>179900</v>
      </c>
      <c r="O999" s="556">
        <f t="shared" si="592"/>
        <v>0</v>
      </c>
      <c r="P999" s="556">
        <f t="shared" si="592"/>
        <v>0</v>
      </c>
      <c r="Q999" s="556">
        <f t="shared" si="592"/>
        <v>179900</v>
      </c>
      <c r="R999" s="556">
        <f t="shared" si="592"/>
        <v>179900</v>
      </c>
      <c r="S999" s="556">
        <f t="shared" si="592"/>
        <v>0</v>
      </c>
      <c r="T999" s="556">
        <f t="shared" si="592"/>
        <v>0</v>
      </c>
      <c r="U999" s="556">
        <f t="shared" si="592"/>
        <v>179900</v>
      </c>
      <c r="V999" s="556">
        <f t="shared" si="592"/>
        <v>20011</v>
      </c>
      <c r="W999" s="556">
        <f>W1000+W1001</f>
        <v>20011</v>
      </c>
      <c r="X999" s="556">
        <f t="shared" ref="X999:AA999" si="593">X1000+X1001</f>
        <v>0</v>
      </c>
      <c r="Y999" s="556">
        <f t="shared" si="593"/>
        <v>0</v>
      </c>
      <c r="Z999" s="556">
        <f t="shared" si="593"/>
        <v>20011</v>
      </c>
      <c r="AA999" s="556">
        <f t="shared" si="593"/>
        <v>0</v>
      </c>
      <c r="AB999" s="556">
        <f t="shared" si="592"/>
        <v>0</v>
      </c>
      <c r="AC999" s="380">
        <f t="shared" si="571"/>
        <v>0</v>
      </c>
    </row>
    <row r="1000" spans="1:36" s="10" customFormat="1" ht="39.75" customHeight="1">
      <c r="A1000" s="332" t="s">
        <v>39</v>
      </c>
      <c r="B1000" s="326" t="s">
        <v>1254</v>
      </c>
      <c r="C1000" s="27" t="s">
        <v>55</v>
      </c>
      <c r="D1000" s="554"/>
      <c r="E1000" s="332"/>
      <c r="F1000" s="471"/>
      <c r="G1000" s="471"/>
      <c r="H1000" s="332"/>
      <c r="I1000" s="471"/>
      <c r="J1000" s="331"/>
      <c r="K1000" s="331"/>
      <c r="L1000" s="331"/>
      <c r="M1000" s="331"/>
      <c r="N1000" s="331"/>
      <c r="O1000" s="331"/>
      <c r="P1000" s="331"/>
      <c r="Q1000" s="331"/>
      <c r="R1000" s="331"/>
      <c r="S1000" s="331"/>
      <c r="T1000" s="331"/>
      <c r="U1000" s="331"/>
      <c r="V1000" s="331"/>
      <c r="W1000" s="331"/>
      <c r="X1000" s="331"/>
      <c r="Y1000" s="331"/>
      <c r="Z1000" s="331"/>
      <c r="AA1000" s="331">
        <v>0</v>
      </c>
      <c r="AB1000" s="332"/>
      <c r="AC1000" s="380">
        <f t="shared" si="571"/>
        <v>0</v>
      </c>
    </row>
    <row r="1001" spans="1:36" s="753" customFormat="1" ht="45">
      <c r="A1001" s="328" t="s">
        <v>467</v>
      </c>
      <c r="B1001" s="492" t="s">
        <v>56</v>
      </c>
      <c r="C1001" s="27" t="s">
        <v>1231</v>
      </c>
      <c r="D1001" s="328"/>
      <c r="E1001" s="328"/>
      <c r="F1001" s="328"/>
      <c r="G1001" s="328"/>
      <c r="H1001" s="328"/>
      <c r="I1001" s="492"/>
      <c r="J1001" s="751">
        <f t="shared" ref="J1001:V1001" si="594">SUM(J1002)</f>
        <v>199911</v>
      </c>
      <c r="K1001" s="751">
        <f t="shared" si="594"/>
        <v>0</v>
      </c>
      <c r="L1001" s="751">
        <f t="shared" si="594"/>
        <v>0</v>
      </c>
      <c r="M1001" s="751">
        <f t="shared" si="594"/>
        <v>199911</v>
      </c>
      <c r="N1001" s="751">
        <f t="shared" si="594"/>
        <v>179900</v>
      </c>
      <c r="O1001" s="751">
        <f t="shared" si="594"/>
        <v>0</v>
      </c>
      <c r="P1001" s="751">
        <f t="shared" si="594"/>
        <v>0</v>
      </c>
      <c r="Q1001" s="751">
        <f t="shared" si="594"/>
        <v>179900</v>
      </c>
      <c r="R1001" s="751">
        <f t="shared" si="594"/>
        <v>179900</v>
      </c>
      <c r="S1001" s="751">
        <f t="shared" si="594"/>
        <v>0</v>
      </c>
      <c r="T1001" s="751">
        <f t="shared" si="594"/>
        <v>0</v>
      </c>
      <c r="U1001" s="751">
        <f t="shared" si="594"/>
        <v>179900</v>
      </c>
      <c r="V1001" s="751">
        <f t="shared" si="594"/>
        <v>20011</v>
      </c>
      <c r="W1001" s="751">
        <f>W1002</f>
        <v>20011</v>
      </c>
      <c r="X1001" s="751">
        <f t="shared" ref="X1001:AA1001" si="595">X1002</f>
        <v>0</v>
      </c>
      <c r="Y1001" s="751">
        <f t="shared" si="595"/>
        <v>0</v>
      </c>
      <c r="Z1001" s="751">
        <f t="shared" si="595"/>
        <v>20011</v>
      </c>
      <c r="AA1001" s="751">
        <f t="shared" si="595"/>
        <v>0</v>
      </c>
      <c r="AB1001" s="752"/>
      <c r="AC1001" s="380">
        <f t="shared" si="571"/>
        <v>0</v>
      </c>
    </row>
    <row r="1002" spans="1:36" s="8" customFormat="1" ht="50.25" customHeight="1">
      <c r="A1002" s="26" t="s">
        <v>144</v>
      </c>
      <c r="B1002" s="755" t="s">
        <v>1642</v>
      </c>
      <c r="C1002" s="27"/>
      <c r="D1002" s="756">
        <v>7948090</v>
      </c>
      <c r="E1002" s="13"/>
      <c r="F1002" s="13"/>
      <c r="G1002" s="13"/>
      <c r="H1002" s="756" t="s">
        <v>44</v>
      </c>
      <c r="I1002" s="757" t="s">
        <v>1643</v>
      </c>
      <c r="J1002" s="758">
        <v>199911</v>
      </c>
      <c r="K1002" s="526"/>
      <c r="L1002" s="758"/>
      <c r="M1002" s="758">
        <v>199911</v>
      </c>
      <c r="N1002" s="758">
        <v>179900</v>
      </c>
      <c r="O1002" s="526"/>
      <c r="P1002" s="526"/>
      <c r="Q1002" s="758">
        <v>179900</v>
      </c>
      <c r="R1002" s="758">
        <v>179900</v>
      </c>
      <c r="S1002" s="526"/>
      <c r="T1002" s="526"/>
      <c r="U1002" s="758">
        <v>179900</v>
      </c>
      <c r="V1002" s="721">
        <v>20011</v>
      </c>
      <c r="W1002" s="758">
        <f>SUM(X1002:AA1002)</f>
        <v>20011</v>
      </c>
      <c r="X1002" s="526"/>
      <c r="Y1002" s="526"/>
      <c r="Z1002" s="758">
        <v>20011</v>
      </c>
      <c r="AA1002" s="526"/>
      <c r="AB1002" s="91" t="s">
        <v>1622</v>
      </c>
      <c r="AC1002" s="380">
        <f t="shared" si="571"/>
        <v>0</v>
      </c>
      <c r="AJ1002" s="8" t="s">
        <v>685</v>
      </c>
    </row>
    <row r="1003" spans="1:36" s="231" customFormat="1" ht="35.25" customHeight="1">
      <c r="A1003" s="389" t="s">
        <v>442</v>
      </c>
      <c r="B1003" s="759" t="s">
        <v>1727</v>
      </c>
      <c r="C1003" s="441"/>
      <c r="D1003" s="760"/>
      <c r="E1003" s="320"/>
      <c r="F1003" s="320"/>
      <c r="G1003" s="320"/>
      <c r="H1003" s="760"/>
      <c r="I1003" s="761"/>
      <c r="J1003" s="762"/>
      <c r="K1003" s="527"/>
      <c r="L1003" s="762"/>
      <c r="M1003" s="762"/>
      <c r="N1003" s="762"/>
      <c r="O1003" s="527"/>
      <c r="P1003" s="527"/>
      <c r="Q1003" s="762"/>
      <c r="R1003" s="762"/>
      <c r="S1003" s="527"/>
      <c r="T1003" s="527"/>
      <c r="U1003" s="762"/>
      <c r="V1003" s="763">
        <f>+V1004+V1005+V1006+V1007</f>
        <v>980000</v>
      </c>
      <c r="W1003" s="763">
        <f t="shared" ref="W1003:AA1003" si="596">+W1004+W1005+W1006+W1007</f>
        <v>795345</v>
      </c>
      <c r="X1003" s="763">
        <f t="shared" si="596"/>
        <v>190600</v>
      </c>
      <c r="Y1003" s="763">
        <f t="shared" si="596"/>
        <v>604745</v>
      </c>
      <c r="Z1003" s="763">
        <f t="shared" si="596"/>
        <v>0</v>
      </c>
      <c r="AA1003" s="763">
        <f t="shared" si="596"/>
        <v>0</v>
      </c>
      <c r="AB1003" s="102"/>
      <c r="AC1003" s="380">
        <f t="shared" si="571"/>
        <v>0</v>
      </c>
    </row>
    <row r="1004" spans="1:36" s="501" customFormat="1" ht="36.75" customHeight="1">
      <c r="A1004" s="389">
        <v>1</v>
      </c>
      <c r="B1004" s="441" t="s">
        <v>1728</v>
      </c>
      <c r="C1004" s="320"/>
      <c r="D1004" s="475"/>
      <c r="E1004" s="475"/>
      <c r="F1004" s="475"/>
      <c r="G1004" s="475"/>
      <c r="H1004" s="475"/>
      <c r="I1004" s="389"/>
      <c r="J1004" s="475"/>
      <c r="K1004" s="475"/>
      <c r="L1004" s="475"/>
      <c r="M1004" s="475"/>
      <c r="N1004" s="475"/>
      <c r="O1004" s="475"/>
      <c r="P1004" s="475"/>
      <c r="Q1004" s="475"/>
      <c r="R1004" s="475"/>
      <c r="S1004" s="475"/>
      <c r="T1004" s="475"/>
      <c r="U1004" s="475"/>
      <c r="V1004" s="109">
        <v>80000</v>
      </c>
      <c r="W1004" s="109">
        <f>SUM(X1004:AA1004)</f>
        <v>50000</v>
      </c>
      <c r="X1004" s="109">
        <v>50000</v>
      </c>
      <c r="Y1004" s="109"/>
      <c r="Z1004" s="109"/>
      <c r="AA1004" s="109"/>
      <c r="AB1004" s="743"/>
      <c r="AC1004" s="380">
        <f t="shared" si="571"/>
        <v>0</v>
      </c>
      <c r="AD1004" s="764"/>
      <c r="AJ1004" s="501" t="s">
        <v>1824</v>
      </c>
    </row>
    <row r="1005" spans="1:36" s="501" customFormat="1" ht="36.75" customHeight="1">
      <c r="A1005" s="389">
        <v>2</v>
      </c>
      <c r="B1005" s="441" t="s">
        <v>1662</v>
      </c>
      <c r="C1005" s="320"/>
      <c r="D1005" s="475"/>
      <c r="E1005" s="475"/>
      <c r="F1005" s="475"/>
      <c r="G1005" s="475"/>
      <c r="H1005" s="475"/>
      <c r="I1005" s="389"/>
      <c r="J1005" s="475"/>
      <c r="K1005" s="475"/>
      <c r="L1005" s="475"/>
      <c r="M1005" s="475"/>
      <c r="N1005" s="475"/>
      <c r="O1005" s="475"/>
      <c r="P1005" s="475"/>
      <c r="Q1005" s="475"/>
      <c r="R1005" s="475"/>
      <c r="S1005" s="475"/>
      <c r="T1005" s="475"/>
      <c r="U1005" s="475"/>
      <c r="V1005" s="109">
        <v>900000</v>
      </c>
      <c r="W1005" s="109">
        <f>SUM(X1005:AA1005)</f>
        <v>100000</v>
      </c>
      <c r="X1005" s="109">
        <f>100000</f>
        <v>100000</v>
      </c>
      <c r="Y1005" s="109"/>
      <c r="Z1005" s="109"/>
      <c r="AA1005" s="109"/>
      <c r="AB1005" s="743"/>
      <c r="AC1005" s="380">
        <f t="shared" si="571"/>
        <v>0</v>
      </c>
      <c r="AD1005" s="764"/>
      <c r="AJ1005" s="501" t="s">
        <v>1824</v>
      </c>
    </row>
    <row r="1006" spans="1:36" s="501" customFormat="1" ht="27" customHeight="1">
      <c r="A1006" s="765">
        <v>3</v>
      </c>
      <c r="B1006" s="766" t="s">
        <v>1729</v>
      </c>
      <c r="C1006" s="767"/>
      <c r="D1006" s="766"/>
      <c r="E1006" s="766"/>
      <c r="F1006" s="766"/>
      <c r="G1006" s="766"/>
      <c r="H1006" s="766"/>
      <c r="I1006" s="767"/>
      <c r="J1006" s="766"/>
      <c r="K1006" s="766"/>
      <c r="L1006" s="766"/>
      <c r="M1006" s="766"/>
      <c r="N1006" s="766"/>
      <c r="O1006" s="766"/>
      <c r="P1006" s="766"/>
      <c r="Q1006" s="766"/>
      <c r="R1006" s="766"/>
      <c r="S1006" s="766"/>
      <c r="T1006" s="766"/>
      <c r="U1006" s="766"/>
      <c r="V1006" s="766"/>
      <c r="W1006" s="768">
        <f>SUM(X1006:AA1006)</f>
        <v>40600</v>
      </c>
      <c r="X1006" s="768">
        <v>40600</v>
      </c>
      <c r="Y1006" s="768"/>
      <c r="Z1006" s="768"/>
      <c r="AA1006" s="768"/>
      <c r="AB1006" s="769"/>
      <c r="AC1006" s="380">
        <f t="shared" si="571"/>
        <v>0</v>
      </c>
      <c r="AJ1006" s="501" t="s">
        <v>1824</v>
      </c>
    </row>
    <row r="1007" spans="1:36" s="231" customFormat="1" ht="75.75" customHeight="1">
      <c r="A1007" s="767">
        <v>4</v>
      </c>
      <c r="B1007" s="790" t="s">
        <v>1828</v>
      </c>
      <c r="C1007" s="791"/>
      <c r="D1007" s="792"/>
      <c r="E1007" s="792"/>
      <c r="F1007" s="792"/>
      <c r="G1007" s="792"/>
      <c r="H1007" s="792"/>
      <c r="I1007" s="791"/>
      <c r="J1007" s="792"/>
      <c r="K1007" s="792"/>
      <c r="L1007" s="792"/>
      <c r="M1007" s="792"/>
      <c r="N1007" s="792"/>
      <c r="O1007" s="792"/>
      <c r="P1007" s="792"/>
      <c r="Q1007" s="792"/>
      <c r="R1007" s="792"/>
      <c r="S1007" s="792"/>
      <c r="T1007" s="792"/>
      <c r="U1007" s="792"/>
      <c r="V1007" s="792"/>
      <c r="W1007" s="793">
        <v>604745</v>
      </c>
      <c r="X1007" s="794"/>
      <c r="Y1007" s="793">
        <v>604745</v>
      </c>
      <c r="Z1007" s="794"/>
      <c r="AA1007" s="794"/>
      <c r="AB1007" s="791"/>
      <c r="AC1007" s="46"/>
      <c r="AJ1007" s="231" t="s">
        <v>1824</v>
      </c>
    </row>
    <row r="1008" spans="1:36" s="46" customFormat="1" ht="22.5" customHeight="1">
      <c r="A1008" s="770" t="s">
        <v>457</v>
      </c>
      <c r="B1008" s="788" t="s">
        <v>1865</v>
      </c>
      <c r="C1008" s="770"/>
      <c r="D1008" s="788"/>
      <c r="E1008" s="788"/>
      <c r="F1008" s="788"/>
      <c r="G1008" s="788"/>
      <c r="H1008" s="788"/>
      <c r="I1008" s="770"/>
      <c r="J1008" s="788"/>
      <c r="K1008" s="788"/>
      <c r="L1008" s="788"/>
      <c r="M1008" s="788"/>
      <c r="N1008" s="788"/>
      <c r="O1008" s="788"/>
      <c r="P1008" s="788"/>
      <c r="Q1008" s="788"/>
      <c r="R1008" s="788"/>
      <c r="S1008" s="788"/>
      <c r="T1008" s="788"/>
      <c r="U1008" s="788"/>
      <c r="V1008" s="788"/>
      <c r="W1008" s="789">
        <f>306000-56000-60000</f>
        <v>190000</v>
      </c>
      <c r="X1008" s="771"/>
      <c r="Y1008" s="771"/>
      <c r="Z1008" s="789">
        <f>306000-56000-60000</f>
        <v>190000</v>
      </c>
      <c r="AA1008" s="771"/>
      <c r="AB1008" s="770"/>
      <c r="AD1008" s="501"/>
    </row>
  </sheetData>
  <mergeCells count="33">
    <mergeCell ref="F6:F9"/>
    <mergeCell ref="G6:G9"/>
    <mergeCell ref="H6:H9"/>
    <mergeCell ref="I6:M6"/>
    <mergeCell ref="B1:D1"/>
    <mergeCell ref="A2:AB2"/>
    <mergeCell ref="A3:AB3"/>
    <mergeCell ref="A4:AB4"/>
    <mergeCell ref="Y1:AB1"/>
    <mergeCell ref="A6:A9"/>
    <mergeCell ref="B6:B9"/>
    <mergeCell ref="C6:C9"/>
    <mergeCell ref="D6:D9"/>
    <mergeCell ref="E6:E9"/>
    <mergeCell ref="N6:Q7"/>
    <mergeCell ref="R6:U7"/>
    <mergeCell ref="V6:V9"/>
    <mergeCell ref="AB6:AB9"/>
    <mergeCell ref="I7:I9"/>
    <mergeCell ref="J7:M7"/>
    <mergeCell ref="J8:J9"/>
    <mergeCell ref="K8:M8"/>
    <mergeCell ref="N8:N9"/>
    <mergeCell ref="O8:Q8"/>
    <mergeCell ref="R8:R9"/>
    <mergeCell ref="S8:U8"/>
    <mergeCell ref="W5:AA5"/>
    <mergeCell ref="Y8:Y9"/>
    <mergeCell ref="W6:AA7"/>
    <mergeCell ref="W8:W9"/>
    <mergeCell ref="X8:X9"/>
    <mergeCell ref="Z8:Z9"/>
    <mergeCell ref="AA8:AA9"/>
  </mergeCells>
  <conditionalFormatting sqref="B1007">
    <cfRule type="duplicateValues" dxfId="4" priority="6"/>
    <cfRule type="duplicateValues" dxfId="3" priority="7"/>
  </conditionalFormatting>
  <conditionalFormatting sqref="D635">
    <cfRule type="duplicateValues" dxfId="2" priority="3" stopIfTrue="1"/>
  </conditionalFormatting>
  <conditionalFormatting sqref="D936:D937">
    <cfRule type="duplicateValues" dxfId="1" priority="1"/>
  </conditionalFormatting>
  <conditionalFormatting sqref="D939:D1048576 D1:D106 D108 D114:D277 D280:D578 D580:D935">
    <cfRule type="duplicateValues" dxfId="0" priority="2"/>
  </conditionalFormatting>
  <printOptions horizontalCentered="1"/>
  <pageMargins left="0.19685039370078741" right="0.11811023622047245" top="0.39370078740157483" bottom="0.31496062992125984" header="0.19685039370078741" footer="0.19685039370078741"/>
  <pageSetup paperSize="9" scale="45" fitToHeight="0" orientation="landscape" verticalDpi="300" r:id="rId1"/>
  <headerFooter>
    <oddFooter>&amp;C&amp;P</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O56"/>
  <sheetViews>
    <sheetView zoomScale="91" zoomScaleNormal="91" workbookViewId="0">
      <pane xSplit="6" ySplit="9" topLeftCell="G10" activePane="bottomRight" state="frozen"/>
      <selection pane="topRight" activeCell="G1" sqref="G1"/>
      <selection pane="bottomLeft" activeCell="A10" sqref="A10"/>
      <selection pane="bottomRight" activeCell="K11" sqref="K11"/>
    </sheetView>
  </sheetViews>
  <sheetFormatPr defaultRowHeight="15"/>
  <cols>
    <col min="1" max="1" width="7.42578125" style="146" customWidth="1"/>
    <col min="2" max="2" width="41.7109375" style="146" customWidth="1"/>
    <col min="3" max="3" width="19.28515625" style="146" hidden="1" customWidth="1"/>
    <col min="4" max="4" width="14.5703125" style="146" hidden="1" customWidth="1"/>
    <col min="5" max="5" width="13.140625" style="146" hidden="1" customWidth="1"/>
    <col min="6" max="6" width="12.7109375" style="146" customWidth="1"/>
    <col min="7" max="7" width="24.140625" style="152" customWidth="1"/>
    <col min="8" max="8" width="12" style="146" hidden="1" customWidth="1"/>
    <col min="9" max="9" width="7.85546875" style="152" customWidth="1"/>
    <col min="10" max="10" width="13.140625" style="152" customWidth="1"/>
    <col min="11" max="11" width="13" style="146" customWidth="1"/>
    <col min="12" max="12" width="8.85546875" style="146" customWidth="1"/>
    <col min="13" max="13" width="11.42578125" style="146" customWidth="1"/>
    <col min="14" max="14" width="12.85546875" style="146" bestFit="1" customWidth="1"/>
    <col min="15" max="15" width="11.5703125" style="146" hidden="1" customWidth="1"/>
    <col min="16" max="16" width="10" style="146" bestFit="1" customWidth="1"/>
    <col min="17" max="17" width="8.85546875" style="146" customWidth="1"/>
    <col min="18" max="18" width="8.5703125" style="146" customWidth="1"/>
    <col min="19" max="19" width="10.5703125" style="146" customWidth="1"/>
    <col min="20" max="20" width="9.42578125" style="146" customWidth="1"/>
    <col min="21" max="21" width="7.42578125" style="146" customWidth="1"/>
    <col min="22" max="22" width="7.5703125" style="146" customWidth="1"/>
    <col min="23" max="23" width="11" style="146" customWidth="1"/>
    <col min="24" max="24" width="13.42578125" style="146" customWidth="1"/>
    <col min="25" max="25" width="12.42578125" style="146" customWidth="1"/>
    <col min="26" max="27" width="7.85546875" style="146" customWidth="1"/>
    <col min="28" max="28" width="12.140625" style="146" customWidth="1"/>
    <col min="29" max="29" width="20.85546875" style="146" customWidth="1"/>
    <col min="30" max="33" width="10.140625" style="146" bestFit="1" customWidth="1"/>
    <col min="34" max="252" width="9.140625" style="146"/>
    <col min="253" max="253" width="7.42578125" style="146" customWidth="1"/>
    <col min="254" max="254" width="41.7109375" style="146" customWidth="1"/>
    <col min="255" max="257" width="0" style="146" hidden="1" customWidth="1"/>
    <col min="258" max="258" width="12.7109375" style="146" customWidth="1"/>
    <col min="259" max="259" width="24.140625" style="146" customWidth="1"/>
    <col min="260" max="260" width="0" style="146" hidden="1" customWidth="1"/>
    <col min="261" max="261" width="7.85546875" style="146" customWidth="1"/>
    <col min="262" max="262" width="13.140625" style="146" customWidth="1"/>
    <col min="263" max="263" width="13" style="146" customWidth="1"/>
    <col min="264" max="264" width="10.5703125" style="146" customWidth="1"/>
    <col min="265" max="265" width="11.42578125" style="146" customWidth="1"/>
    <col min="266" max="266" width="12.85546875" style="146" bestFit="1" customWidth="1"/>
    <col min="267" max="267" width="0" style="146" hidden="1" customWidth="1"/>
    <col min="268" max="268" width="10" style="146" bestFit="1" customWidth="1"/>
    <col min="269" max="269" width="8.85546875" style="146" customWidth="1"/>
    <col min="270" max="270" width="8.5703125" style="146" customWidth="1"/>
    <col min="271" max="271" width="10.5703125" style="146" customWidth="1"/>
    <col min="272" max="272" width="9.42578125" style="146" customWidth="1"/>
    <col min="273" max="273" width="7.42578125" style="146" customWidth="1"/>
    <col min="274" max="274" width="7.5703125" style="146" customWidth="1"/>
    <col min="275" max="275" width="11" style="146" customWidth="1"/>
    <col min="276" max="276" width="13.42578125" style="146" customWidth="1"/>
    <col min="277" max="277" width="12.42578125" style="146" customWidth="1"/>
    <col min="278" max="279" width="7.85546875" style="146" customWidth="1"/>
    <col min="280" max="280" width="12.140625" style="146" customWidth="1"/>
    <col min="281" max="281" width="20.85546875" style="146" customWidth="1"/>
    <col min="282" max="283" width="10" style="146" customWidth="1"/>
    <col min="284" max="284" width="11.28515625" style="146" bestFit="1" customWidth="1"/>
    <col min="285" max="285" width="10" style="146" customWidth="1"/>
    <col min="286" max="289" width="10.140625" style="146" bestFit="1" customWidth="1"/>
    <col min="290" max="508" width="9.140625" style="146"/>
    <col min="509" max="509" width="7.42578125" style="146" customWidth="1"/>
    <col min="510" max="510" width="41.7109375" style="146" customWidth="1"/>
    <col min="511" max="513" width="0" style="146" hidden="1" customWidth="1"/>
    <col min="514" max="514" width="12.7109375" style="146" customWidth="1"/>
    <col min="515" max="515" width="24.140625" style="146" customWidth="1"/>
    <col min="516" max="516" width="0" style="146" hidden="1" customWidth="1"/>
    <col min="517" max="517" width="7.85546875" style="146" customWidth="1"/>
    <col min="518" max="518" width="13.140625" style="146" customWidth="1"/>
    <col min="519" max="519" width="13" style="146" customWidth="1"/>
    <col min="520" max="520" width="10.5703125" style="146" customWidth="1"/>
    <col min="521" max="521" width="11.42578125" style="146" customWidth="1"/>
    <col min="522" max="522" width="12.85546875" style="146" bestFit="1" customWidth="1"/>
    <col min="523" max="523" width="0" style="146" hidden="1" customWidth="1"/>
    <col min="524" max="524" width="10" style="146" bestFit="1" customWidth="1"/>
    <col min="525" max="525" width="8.85546875" style="146" customWidth="1"/>
    <col min="526" max="526" width="8.5703125" style="146" customWidth="1"/>
    <col min="527" max="527" width="10.5703125" style="146" customWidth="1"/>
    <col min="528" max="528" width="9.42578125" style="146" customWidth="1"/>
    <col min="529" max="529" width="7.42578125" style="146" customWidth="1"/>
    <col min="530" max="530" width="7.5703125" style="146" customWidth="1"/>
    <col min="531" max="531" width="11" style="146" customWidth="1"/>
    <col min="532" max="532" width="13.42578125" style="146" customWidth="1"/>
    <col min="533" max="533" width="12.42578125" style="146" customWidth="1"/>
    <col min="534" max="535" width="7.85546875" style="146" customWidth="1"/>
    <col min="536" max="536" width="12.140625" style="146" customWidth="1"/>
    <col min="537" max="537" width="20.85546875" style="146" customWidth="1"/>
    <col min="538" max="539" width="10" style="146" customWidth="1"/>
    <col min="540" max="540" width="11.28515625" style="146" bestFit="1" customWidth="1"/>
    <col min="541" max="541" width="10" style="146" customWidth="1"/>
    <col min="542" max="545" width="10.140625" style="146" bestFit="1" customWidth="1"/>
    <col min="546" max="764" width="9.140625" style="146"/>
    <col min="765" max="765" width="7.42578125" style="146" customWidth="1"/>
    <col min="766" max="766" width="41.7109375" style="146" customWidth="1"/>
    <col min="767" max="769" width="0" style="146" hidden="1" customWidth="1"/>
    <col min="770" max="770" width="12.7109375" style="146" customWidth="1"/>
    <col min="771" max="771" width="24.140625" style="146" customWidth="1"/>
    <col min="772" max="772" width="0" style="146" hidden="1" customWidth="1"/>
    <col min="773" max="773" width="7.85546875" style="146" customWidth="1"/>
    <col min="774" max="774" width="13.140625" style="146" customWidth="1"/>
    <col min="775" max="775" width="13" style="146" customWidth="1"/>
    <col min="776" max="776" width="10.5703125" style="146" customWidth="1"/>
    <col min="777" max="777" width="11.42578125" style="146" customWidth="1"/>
    <col min="778" max="778" width="12.85546875" style="146" bestFit="1" customWidth="1"/>
    <col min="779" max="779" width="0" style="146" hidden="1" customWidth="1"/>
    <col min="780" max="780" width="10" style="146" bestFit="1" customWidth="1"/>
    <col min="781" max="781" width="8.85546875" style="146" customWidth="1"/>
    <col min="782" max="782" width="8.5703125" style="146" customWidth="1"/>
    <col min="783" max="783" width="10.5703125" style="146" customWidth="1"/>
    <col min="784" max="784" width="9.42578125" style="146" customWidth="1"/>
    <col min="785" max="785" width="7.42578125" style="146" customWidth="1"/>
    <col min="786" max="786" width="7.5703125" style="146" customWidth="1"/>
    <col min="787" max="787" width="11" style="146" customWidth="1"/>
    <col min="788" max="788" width="13.42578125" style="146" customWidth="1"/>
    <col min="789" max="789" width="12.42578125" style="146" customWidth="1"/>
    <col min="790" max="791" width="7.85546875" style="146" customWidth="1"/>
    <col min="792" max="792" width="12.140625" style="146" customWidth="1"/>
    <col min="793" max="793" width="20.85546875" style="146" customWidth="1"/>
    <col min="794" max="795" width="10" style="146" customWidth="1"/>
    <col min="796" max="796" width="11.28515625" style="146" bestFit="1" customWidth="1"/>
    <col min="797" max="797" width="10" style="146" customWidth="1"/>
    <col min="798" max="801" width="10.140625" style="146" bestFit="1" customWidth="1"/>
    <col min="802" max="1020" width="9.140625" style="146"/>
    <col min="1021" max="1021" width="7.42578125" style="146" customWidth="1"/>
    <col min="1022" max="1022" width="41.7109375" style="146" customWidth="1"/>
    <col min="1023" max="1025" width="0" style="146" hidden="1" customWidth="1"/>
    <col min="1026" max="1026" width="12.7109375" style="146" customWidth="1"/>
    <col min="1027" max="1027" width="24.140625" style="146" customWidth="1"/>
    <col min="1028" max="1028" width="0" style="146" hidden="1" customWidth="1"/>
    <col min="1029" max="1029" width="7.85546875" style="146" customWidth="1"/>
    <col min="1030" max="1030" width="13.140625" style="146" customWidth="1"/>
    <col min="1031" max="1031" width="13" style="146" customWidth="1"/>
    <col min="1032" max="1032" width="10.5703125" style="146" customWidth="1"/>
    <col min="1033" max="1033" width="11.42578125" style="146" customWidth="1"/>
    <col min="1034" max="1034" width="12.85546875" style="146" bestFit="1" customWidth="1"/>
    <col min="1035" max="1035" width="0" style="146" hidden="1" customWidth="1"/>
    <col min="1036" max="1036" width="10" style="146" bestFit="1" customWidth="1"/>
    <col min="1037" max="1037" width="8.85546875" style="146" customWidth="1"/>
    <col min="1038" max="1038" width="8.5703125" style="146" customWidth="1"/>
    <col min="1039" max="1039" width="10.5703125" style="146" customWidth="1"/>
    <col min="1040" max="1040" width="9.42578125" style="146" customWidth="1"/>
    <col min="1041" max="1041" width="7.42578125" style="146" customWidth="1"/>
    <col min="1042" max="1042" width="7.5703125" style="146" customWidth="1"/>
    <col min="1043" max="1043" width="11" style="146" customWidth="1"/>
    <col min="1044" max="1044" width="13.42578125" style="146" customWidth="1"/>
    <col min="1045" max="1045" width="12.42578125" style="146" customWidth="1"/>
    <col min="1046" max="1047" width="7.85546875" style="146" customWidth="1"/>
    <col min="1048" max="1048" width="12.140625" style="146" customWidth="1"/>
    <col min="1049" max="1049" width="20.85546875" style="146" customWidth="1"/>
    <col min="1050" max="1051" width="10" style="146" customWidth="1"/>
    <col min="1052" max="1052" width="11.28515625" style="146" bestFit="1" customWidth="1"/>
    <col min="1053" max="1053" width="10" style="146" customWidth="1"/>
    <col min="1054" max="1057" width="10.140625" style="146" bestFit="1" customWidth="1"/>
    <col min="1058" max="1276" width="9.140625" style="146"/>
    <col min="1277" max="1277" width="7.42578125" style="146" customWidth="1"/>
    <col min="1278" max="1278" width="41.7109375" style="146" customWidth="1"/>
    <col min="1279" max="1281" width="0" style="146" hidden="1" customWidth="1"/>
    <col min="1282" max="1282" width="12.7109375" style="146" customWidth="1"/>
    <col min="1283" max="1283" width="24.140625" style="146" customWidth="1"/>
    <col min="1284" max="1284" width="0" style="146" hidden="1" customWidth="1"/>
    <col min="1285" max="1285" width="7.85546875" style="146" customWidth="1"/>
    <col min="1286" max="1286" width="13.140625" style="146" customWidth="1"/>
    <col min="1287" max="1287" width="13" style="146" customWidth="1"/>
    <col min="1288" max="1288" width="10.5703125" style="146" customWidth="1"/>
    <col min="1289" max="1289" width="11.42578125" style="146" customWidth="1"/>
    <col min="1290" max="1290" width="12.85546875" style="146" bestFit="1" customWidth="1"/>
    <col min="1291" max="1291" width="0" style="146" hidden="1" customWidth="1"/>
    <col min="1292" max="1292" width="10" style="146" bestFit="1" customWidth="1"/>
    <col min="1293" max="1293" width="8.85546875" style="146" customWidth="1"/>
    <col min="1294" max="1294" width="8.5703125" style="146" customWidth="1"/>
    <col min="1295" max="1295" width="10.5703125" style="146" customWidth="1"/>
    <col min="1296" max="1296" width="9.42578125" style="146" customWidth="1"/>
    <col min="1297" max="1297" width="7.42578125" style="146" customWidth="1"/>
    <col min="1298" max="1298" width="7.5703125" style="146" customWidth="1"/>
    <col min="1299" max="1299" width="11" style="146" customWidth="1"/>
    <col min="1300" max="1300" width="13.42578125" style="146" customWidth="1"/>
    <col min="1301" max="1301" width="12.42578125" style="146" customWidth="1"/>
    <col min="1302" max="1303" width="7.85546875" style="146" customWidth="1"/>
    <col min="1304" max="1304" width="12.140625" style="146" customWidth="1"/>
    <col min="1305" max="1305" width="20.85546875" style="146" customWidth="1"/>
    <col min="1306" max="1307" width="10" style="146" customWidth="1"/>
    <col min="1308" max="1308" width="11.28515625" style="146" bestFit="1" customWidth="1"/>
    <col min="1309" max="1309" width="10" style="146" customWidth="1"/>
    <col min="1310" max="1313" width="10.140625" style="146" bestFit="1" customWidth="1"/>
    <col min="1314" max="1532" width="9.140625" style="146"/>
    <col min="1533" max="1533" width="7.42578125" style="146" customWidth="1"/>
    <col min="1534" max="1534" width="41.7109375" style="146" customWidth="1"/>
    <col min="1535" max="1537" width="0" style="146" hidden="1" customWidth="1"/>
    <col min="1538" max="1538" width="12.7109375" style="146" customWidth="1"/>
    <col min="1539" max="1539" width="24.140625" style="146" customWidth="1"/>
    <col min="1540" max="1540" width="0" style="146" hidden="1" customWidth="1"/>
    <col min="1541" max="1541" width="7.85546875" style="146" customWidth="1"/>
    <col min="1542" max="1542" width="13.140625" style="146" customWidth="1"/>
    <col min="1543" max="1543" width="13" style="146" customWidth="1"/>
    <col min="1544" max="1544" width="10.5703125" style="146" customWidth="1"/>
    <col min="1545" max="1545" width="11.42578125" style="146" customWidth="1"/>
    <col min="1546" max="1546" width="12.85546875" style="146" bestFit="1" customWidth="1"/>
    <col min="1547" max="1547" width="0" style="146" hidden="1" customWidth="1"/>
    <col min="1548" max="1548" width="10" style="146" bestFit="1" customWidth="1"/>
    <col min="1549" max="1549" width="8.85546875" style="146" customWidth="1"/>
    <col min="1550" max="1550" width="8.5703125" style="146" customWidth="1"/>
    <col min="1551" max="1551" width="10.5703125" style="146" customWidth="1"/>
    <col min="1552" max="1552" width="9.42578125" style="146" customWidth="1"/>
    <col min="1553" max="1553" width="7.42578125" style="146" customWidth="1"/>
    <col min="1554" max="1554" width="7.5703125" style="146" customWidth="1"/>
    <col min="1555" max="1555" width="11" style="146" customWidth="1"/>
    <col min="1556" max="1556" width="13.42578125" style="146" customWidth="1"/>
    <col min="1557" max="1557" width="12.42578125" style="146" customWidth="1"/>
    <col min="1558" max="1559" width="7.85546875" style="146" customWidth="1"/>
    <col min="1560" max="1560" width="12.140625" style="146" customWidth="1"/>
    <col min="1561" max="1561" width="20.85546875" style="146" customWidth="1"/>
    <col min="1562" max="1563" width="10" style="146" customWidth="1"/>
    <col min="1564" max="1564" width="11.28515625" style="146" bestFit="1" customWidth="1"/>
    <col min="1565" max="1565" width="10" style="146" customWidth="1"/>
    <col min="1566" max="1569" width="10.140625" style="146" bestFit="1" customWidth="1"/>
    <col min="1570" max="1788" width="9.140625" style="146"/>
    <col min="1789" max="1789" width="7.42578125" style="146" customWidth="1"/>
    <col min="1790" max="1790" width="41.7109375" style="146" customWidth="1"/>
    <col min="1791" max="1793" width="0" style="146" hidden="1" customWidth="1"/>
    <col min="1794" max="1794" width="12.7109375" style="146" customWidth="1"/>
    <col min="1795" max="1795" width="24.140625" style="146" customWidth="1"/>
    <col min="1796" max="1796" width="0" style="146" hidden="1" customWidth="1"/>
    <col min="1797" max="1797" width="7.85546875" style="146" customWidth="1"/>
    <col min="1798" max="1798" width="13.140625" style="146" customWidth="1"/>
    <col min="1799" max="1799" width="13" style="146" customWidth="1"/>
    <col min="1800" max="1800" width="10.5703125" style="146" customWidth="1"/>
    <col min="1801" max="1801" width="11.42578125" style="146" customWidth="1"/>
    <col min="1802" max="1802" width="12.85546875" style="146" bestFit="1" customWidth="1"/>
    <col min="1803" max="1803" width="0" style="146" hidden="1" customWidth="1"/>
    <col min="1804" max="1804" width="10" style="146" bestFit="1" customWidth="1"/>
    <col min="1805" max="1805" width="8.85546875" style="146" customWidth="1"/>
    <col min="1806" max="1806" width="8.5703125" style="146" customWidth="1"/>
    <col min="1807" max="1807" width="10.5703125" style="146" customWidth="1"/>
    <col min="1808" max="1808" width="9.42578125" style="146" customWidth="1"/>
    <col min="1809" max="1809" width="7.42578125" style="146" customWidth="1"/>
    <col min="1810" max="1810" width="7.5703125" style="146" customWidth="1"/>
    <col min="1811" max="1811" width="11" style="146" customWidth="1"/>
    <col min="1812" max="1812" width="13.42578125" style="146" customWidth="1"/>
    <col min="1813" max="1813" width="12.42578125" style="146" customWidth="1"/>
    <col min="1814" max="1815" width="7.85546875" style="146" customWidth="1"/>
    <col min="1816" max="1816" width="12.140625" style="146" customWidth="1"/>
    <col min="1817" max="1817" width="20.85546875" style="146" customWidth="1"/>
    <col min="1818" max="1819" width="10" style="146" customWidth="1"/>
    <col min="1820" max="1820" width="11.28515625" style="146" bestFit="1" customWidth="1"/>
    <col min="1821" max="1821" width="10" style="146" customWidth="1"/>
    <col min="1822" max="1825" width="10.140625" style="146" bestFit="1" customWidth="1"/>
    <col min="1826" max="2044" width="9.140625" style="146"/>
    <col min="2045" max="2045" width="7.42578125" style="146" customWidth="1"/>
    <col min="2046" max="2046" width="41.7109375" style="146" customWidth="1"/>
    <col min="2047" max="2049" width="0" style="146" hidden="1" customWidth="1"/>
    <col min="2050" max="2050" width="12.7109375" style="146" customWidth="1"/>
    <col min="2051" max="2051" width="24.140625" style="146" customWidth="1"/>
    <col min="2052" max="2052" width="0" style="146" hidden="1" customWidth="1"/>
    <col min="2053" max="2053" width="7.85546875" style="146" customWidth="1"/>
    <col min="2054" max="2054" width="13.140625" style="146" customWidth="1"/>
    <col min="2055" max="2055" width="13" style="146" customWidth="1"/>
    <col min="2056" max="2056" width="10.5703125" style="146" customWidth="1"/>
    <col min="2057" max="2057" width="11.42578125" style="146" customWidth="1"/>
    <col min="2058" max="2058" width="12.85546875" style="146" bestFit="1" customWidth="1"/>
    <col min="2059" max="2059" width="0" style="146" hidden="1" customWidth="1"/>
    <col min="2060" max="2060" width="10" style="146" bestFit="1" customWidth="1"/>
    <col min="2061" max="2061" width="8.85546875" style="146" customWidth="1"/>
    <col min="2062" max="2062" width="8.5703125" style="146" customWidth="1"/>
    <col min="2063" max="2063" width="10.5703125" style="146" customWidth="1"/>
    <col min="2064" max="2064" width="9.42578125" style="146" customWidth="1"/>
    <col min="2065" max="2065" width="7.42578125" style="146" customWidth="1"/>
    <col min="2066" max="2066" width="7.5703125" style="146" customWidth="1"/>
    <col min="2067" max="2067" width="11" style="146" customWidth="1"/>
    <col min="2068" max="2068" width="13.42578125" style="146" customWidth="1"/>
    <col min="2069" max="2069" width="12.42578125" style="146" customWidth="1"/>
    <col min="2070" max="2071" width="7.85546875" style="146" customWidth="1"/>
    <col min="2072" max="2072" width="12.140625" style="146" customWidth="1"/>
    <col min="2073" max="2073" width="20.85546875" style="146" customWidth="1"/>
    <col min="2074" max="2075" width="10" style="146" customWidth="1"/>
    <col min="2076" max="2076" width="11.28515625" style="146" bestFit="1" customWidth="1"/>
    <col min="2077" max="2077" width="10" style="146" customWidth="1"/>
    <col min="2078" max="2081" width="10.140625" style="146" bestFit="1" customWidth="1"/>
    <col min="2082" max="2300" width="9.140625" style="146"/>
    <col min="2301" max="2301" width="7.42578125" style="146" customWidth="1"/>
    <col min="2302" max="2302" width="41.7109375" style="146" customWidth="1"/>
    <col min="2303" max="2305" width="0" style="146" hidden="1" customWidth="1"/>
    <col min="2306" max="2306" width="12.7109375" style="146" customWidth="1"/>
    <col min="2307" max="2307" width="24.140625" style="146" customWidth="1"/>
    <col min="2308" max="2308" width="0" style="146" hidden="1" customWidth="1"/>
    <col min="2309" max="2309" width="7.85546875" style="146" customWidth="1"/>
    <col min="2310" max="2310" width="13.140625" style="146" customWidth="1"/>
    <col min="2311" max="2311" width="13" style="146" customWidth="1"/>
    <col min="2312" max="2312" width="10.5703125" style="146" customWidth="1"/>
    <col min="2313" max="2313" width="11.42578125" style="146" customWidth="1"/>
    <col min="2314" max="2314" width="12.85546875" style="146" bestFit="1" customWidth="1"/>
    <col min="2315" max="2315" width="0" style="146" hidden="1" customWidth="1"/>
    <col min="2316" max="2316" width="10" style="146" bestFit="1" customWidth="1"/>
    <col min="2317" max="2317" width="8.85546875" style="146" customWidth="1"/>
    <col min="2318" max="2318" width="8.5703125" style="146" customWidth="1"/>
    <col min="2319" max="2319" width="10.5703125" style="146" customWidth="1"/>
    <col min="2320" max="2320" width="9.42578125" style="146" customWidth="1"/>
    <col min="2321" max="2321" width="7.42578125" style="146" customWidth="1"/>
    <col min="2322" max="2322" width="7.5703125" style="146" customWidth="1"/>
    <col min="2323" max="2323" width="11" style="146" customWidth="1"/>
    <col min="2324" max="2324" width="13.42578125" style="146" customWidth="1"/>
    <col min="2325" max="2325" width="12.42578125" style="146" customWidth="1"/>
    <col min="2326" max="2327" width="7.85546875" style="146" customWidth="1"/>
    <col min="2328" max="2328" width="12.140625" style="146" customWidth="1"/>
    <col min="2329" max="2329" width="20.85546875" style="146" customWidth="1"/>
    <col min="2330" max="2331" width="10" style="146" customWidth="1"/>
    <col min="2332" max="2332" width="11.28515625" style="146" bestFit="1" customWidth="1"/>
    <col min="2333" max="2333" width="10" style="146" customWidth="1"/>
    <col min="2334" max="2337" width="10.140625" style="146" bestFit="1" customWidth="1"/>
    <col min="2338" max="2556" width="9.140625" style="146"/>
    <col min="2557" max="2557" width="7.42578125" style="146" customWidth="1"/>
    <col min="2558" max="2558" width="41.7109375" style="146" customWidth="1"/>
    <col min="2559" max="2561" width="0" style="146" hidden="1" customWidth="1"/>
    <col min="2562" max="2562" width="12.7109375" style="146" customWidth="1"/>
    <col min="2563" max="2563" width="24.140625" style="146" customWidth="1"/>
    <col min="2564" max="2564" width="0" style="146" hidden="1" customWidth="1"/>
    <col min="2565" max="2565" width="7.85546875" style="146" customWidth="1"/>
    <col min="2566" max="2566" width="13.140625" style="146" customWidth="1"/>
    <col min="2567" max="2567" width="13" style="146" customWidth="1"/>
    <col min="2568" max="2568" width="10.5703125" style="146" customWidth="1"/>
    <col min="2569" max="2569" width="11.42578125" style="146" customWidth="1"/>
    <col min="2570" max="2570" width="12.85546875" style="146" bestFit="1" customWidth="1"/>
    <col min="2571" max="2571" width="0" style="146" hidden="1" customWidth="1"/>
    <col min="2572" max="2572" width="10" style="146" bestFit="1" customWidth="1"/>
    <col min="2573" max="2573" width="8.85546875" style="146" customWidth="1"/>
    <col min="2574" max="2574" width="8.5703125" style="146" customWidth="1"/>
    <col min="2575" max="2575" width="10.5703125" style="146" customWidth="1"/>
    <col min="2576" max="2576" width="9.42578125" style="146" customWidth="1"/>
    <col min="2577" max="2577" width="7.42578125" style="146" customWidth="1"/>
    <col min="2578" max="2578" width="7.5703125" style="146" customWidth="1"/>
    <col min="2579" max="2579" width="11" style="146" customWidth="1"/>
    <col min="2580" max="2580" width="13.42578125" style="146" customWidth="1"/>
    <col min="2581" max="2581" width="12.42578125" style="146" customWidth="1"/>
    <col min="2582" max="2583" width="7.85546875" style="146" customWidth="1"/>
    <col min="2584" max="2584" width="12.140625" style="146" customWidth="1"/>
    <col min="2585" max="2585" width="20.85546875" style="146" customWidth="1"/>
    <col min="2586" max="2587" width="10" style="146" customWidth="1"/>
    <col min="2588" max="2588" width="11.28515625" style="146" bestFit="1" customWidth="1"/>
    <col min="2589" max="2589" width="10" style="146" customWidth="1"/>
    <col min="2590" max="2593" width="10.140625" style="146" bestFit="1" customWidth="1"/>
    <col min="2594" max="2812" width="9.140625" style="146"/>
    <col min="2813" max="2813" width="7.42578125" style="146" customWidth="1"/>
    <col min="2814" max="2814" width="41.7109375" style="146" customWidth="1"/>
    <col min="2815" max="2817" width="0" style="146" hidden="1" customWidth="1"/>
    <col min="2818" max="2818" width="12.7109375" style="146" customWidth="1"/>
    <col min="2819" max="2819" width="24.140625" style="146" customWidth="1"/>
    <col min="2820" max="2820" width="0" style="146" hidden="1" customWidth="1"/>
    <col min="2821" max="2821" width="7.85546875" style="146" customWidth="1"/>
    <col min="2822" max="2822" width="13.140625" style="146" customWidth="1"/>
    <col min="2823" max="2823" width="13" style="146" customWidth="1"/>
    <col min="2824" max="2824" width="10.5703125" style="146" customWidth="1"/>
    <col min="2825" max="2825" width="11.42578125" style="146" customWidth="1"/>
    <col min="2826" max="2826" width="12.85546875" style="146" bestFit="1" customWidth="1"/>
    <col min="2827" max="2827" width="0" style="146" hidden="1" customWidth="1"/>
    <col min="2828" max="2828" width="10" style="146" bestFit="1" customWidth="1"/>
    <col min="2829" max="2829" width="8.85546875" style="146" customWidth="1"/>
    <col min="2830" max="2830" width="8.5703125" style="146" customWidth="1"/>
    <col min="2831" max="2831" width="10.5703125" style="146" customWidth="1"/>
    <col min="2832" max="2832" width="9.42578125" style="146" customWidth="1"/>
    <col min="2833" max="2833" width="7.42578125" style="146" customWidth="1"/>
    <col min="2834" max="2834" width="7.5703125" style="146" customWidth="1"/>
    <col min="2835" max="2835" width="11" style="146" customWidth="1"/>
    <col min="2836" max="2836" width="13.42578125" style="146" customWidth="1"/>
    <col min="2837" max="2837" width="12.42578125" style="146" customWidth="1"/>
    <col min="2838" max="2839" width="7.85546875" style="146" customWidth="1"/>
    <col min="2840" max="2840" width="12.140625" style="146" customWidth="1"/>
    <col min="2841" max="2841" width="20.85546875" style="146" customWidth="1"/>
    <col min="2842" max="2843" width="10" style="146" customWidth="1"/>
    <col min="2844" max="2844" width="11.28515625" style="146" bestFit="1" customWidth="1"/>
    <col min="2845" max="2845" width="10" style="146" customWidth="1"/>
    <col min="2846" max="2849" width="10.140625" style="146" bestFit="1" customWidth="1"/>
    <col min="2850" max="3068" width="9.140625" style="146"/>
    <col min="3069" max="3069" width="7.42578125" style="146" customWidth="1"/>
    <col min="3070" max="3070" width="41.7109375" style="146" customWidth="1"/>
    <col min="3071" max="3073" width="0" style="146" hidden="1" customWidth="1"/>
    <col min="3074" max="3074" width="12.7109375" style="146" customWidth="1"/>
    <col min="3075" max="3075" width="24.140625" style="146" customWidth="1"/>
    <col min="3076" max="3076" width="0" style="146" hidden="1" customWidth="1"/>
    <col min="3077" max="3077" width="7.85546875" style="146" customWidth="1"/>
    <col min="3078" max="3078" width="13.140625" style="146" customWidth="1"/>
    <col min="3079" max="3079" width="13" style="146" customWidth="1"/>
    <col min="3080" max="3080" width="10.5703125" style="146" customWidth="1"/>
    <col min="3081" max="3081" width="11.42578125" style="146" customWidth="1"/>
    <col min="3082" max="3082" width="12.85546875" style="146" bestFit="1" customWidth="1"/>
    <col min="3083" max="3083" width="0" style="146" hidden="1" customWidth="1"/>
    <col min="3084" max="3084" width="10" style="146" bestFit="1" customWidth="1"/>
    <col min="3085" max="3085" width="8.85546875" style="146" customWidth="1"/>
    <col min="3086" max="3086" width="8.5703125" style="146" customWidth="1"/>
    <col min="3087" max="3087" width="10.5703125" style="146" customWidth="1"/>
    <col min="3088" max="3088" width="9.42578125" style="146" customWidth="1"/>
    <col min="3089" max="3089" width="7.42578125" style="146" customWidth="1"/>
    <col min="3090" max="3090" width="7.5703125" style="146" customWidth="1"/>
    <col min="3091" max="3091" width="11" style="146" customWidth="1"/>
    <col min="3092" max="3092" width="13.42578125" style="146" customWidth="1"/>
    <col min="3093" max="3093" width="12.42578125" style="146" customWidth="1"/>
    <col min="3094" max="3095" width="7.85546875" style="146" customWidth="1"/>
    <col min="3096" max="3096" width="12.140625" style="146" customWidth="1"/>
    <col min="3097" max="3097" width="20.85546875" style="146" customWidth="1"/>
    <col min="3098" max="3099" width="10" style="146" customWidth="1"/>
    <col min="3100" max="3100" width="11.28515625" style="146" bestFit="1" customWidth="1"/>
    <col min="3101" max="3101" width="10" style="146" customWidth="1"/>
    <col min="3102" max="3105" width="10.140625" style="146" bestFit="1" customWidth="1"/>
    <col min="3106" max="3324" width="9.140625" style="146"/>
    <col min="3325" max="3325" width="7.42578125" style="146" customWidth="1"/>
    <col min="3326" max="3326" width="41.7109375" style="146" customWidth="1"/>
    <col min="3327" max="3329" width="0" style="146" hidden="1" customWidth="1"/>
    <col min="3330" max="3330" width="12.7109375" style="146" customWidth="1"/>
    <col min="3331" max="3331" width="24.140625" style="146" customWidth="1"/>
    <col min="3332" max="3332" width="0" style="146" hidden="1" customWidth="1"/>
    <col min="3333" max="3333" width="7.85546875" style="146" customWidth="1"/>
    <col min="3334" max="3334" width="13.140625" style="146" customWidth="1"/>
    <col min="3335" max="3335" width="13" style="146" customWidth="1"/>
    <col min="3336" max="3336" width="10.5703125" style="146" customWidth="1"/>
    <col min="3337" max="3337" width="11.42578125" style="146" customWidth="1"/>
    <col min="3338" max="3338" width="12.85546875" style="146" bestFit="1" customWidth="1"/>
    <col min="3339" max="3339" width="0" style="146" hidden="1" customWidth="1"/>
    <col min="3340" max="3340" width="10" style="146" bestFit="1" customWidth="1"/>
    <col min="3341" max="3341" width="8.85546875" style="146" customWidth="1"/>
    <col min="3342" max="3342" width="8.5703125" style="146" customWidth="1"/>
    <col min="3343" max="3343" width="10.5703125" style="146" customWidth="1"/>
    <col min="3344" max="3344" width="9.42578125" style="146" customWidth="1"/>
    <col min="3345" max="3345" width="7.42578125" style="146" customWidth="1"/>
    <col min="3346" max="3346" width="7.5703125" style="146" customWidth="1"/>
    <col min="3347" max="3347" width="11" style="146" customWidth="1"/>
    <col min="3348" max="3348" width="13.42578125" style="146" customWidth="1"/>
    <col min="3349" max="3349" width="12.42578125" style="146" customWidth="1"/>
    <col min="3350" max="3351" width="7.85546875" style="146" customWidth="1"/>
    <col min="3352" max="3352" width="12.140625" style="146" customWidth="1"/>
    <col min="3353" max="3353" width="20.85546875" style="146" customWidth="1"/>
    <col min="3354" max="3355" width="10" style="146" customWidth="1"/>
    <col min="3356" max="3356" width="11.28515625" style="146" bestFit="1" customWidth="1"/>
    <col min="3357" max="3357" width="10" style="146" customWidth="1"/>
    <col min="3358" max="3361" width="10.140625" style="146" bestFit="1" customWidth="1"/>
    <col min="3362" max="3580" width="9.140625" style="146"/>
    <col min="3581" max="3581" width="7.42578125" style="146" customWidth="1"/>
    <col min="3582" max="3582" width="41.7109375" style="146" customWidth="1"/>
    <col min="3583" max="3585" width="0" style="146" hidden="1" customWidth="1"/>
    <col min="3586" max="3586" width="12.7109375" style="146" customWidth="1"/>
    <col min="3587" max="3587" width="24.140625" style="146" customWidth="1"/>
    <col min="3588" max="3588" width="0" style="146" hidden="1" customWidth="1"/>
    <col min="3589" max="3589" width="7.85546875" style="146" customWidth="1"/>
    <col min="3590" max="3590" width="13.140625" style="146" customWidth="1"/>
    <col min="3591" max="3591" width="13" style="146" customWidth="1"/>
    <col min="3592" max="3592" width="10.5703125" style="146" customWidth="1"/>
    <col min="3593" max="3593" width="11.42578125" style="146" customWidth="1"/>
    <col min="3594" max="3594" width="12.85546875" style="146" bestFit="1" customWidth="1"/>
    <col min="3595" max="3595" width="0" style="146" hidden="1" customWidth="1"/>
    <col min="3596" max="3596" width="10" style="146" bestFit="1" customWidth="1"/>
    <col min="3597" max="3597" width="8.85546875" style="146" customWidth="1"/>
    <col min="3598" max="3598" width="8.5703125" style="146" customWidth="1"/>
    <col min="3599" max="3599" width="10.5703125" style="146" customWidth="1"/>
    <col min="3600" max="3600" width="9.42578125" style="146" customWidth="1"/>
    <col min="3601" max="3601" width="7.42578125" style="146" customWidth="1"/>
    <col min="3602" max="3602" width="7.5703125" style="146" customWidth="1"/>
    <col min="3603" max="3603" width="11" style="146" customWidth="1"/>
    <col min="3604" max="3604" width="13.42578125" style="146" customWidth="1"/>
    <col min="3605" max="3605" width="12.42578125" style="146" customWidth="1"/>
    <col min="3606" max="3607" width="7.85546875" style="146" customWidth="1"/>
    <col min="3608" max="3608" width="12.140625" style="146" customWidth="1"/>
    <col min="3609" max="3609" width="20.85546875" style="146" customWidth="1"/>
    <col min="3610" max="3611" width="10" style="146" customWidth="1"/>
    <col min="3612" max="3612" width="11.28515625" style="146" bestFit="1" customWidth="1"/>
    <col min="3613" max="3613" width="10" style="146" customWidth="1"/>
    <col min="3614" max="3617" width="10.140625" style="146" bestFit="1" customWidth="1"/>
    <col min="3618" max="3836" width="9.140625" style="146"/>
    <col min="3837" max="3837" width="7.42578125" style="146" customWidth="1"/>
    <col min="3838" max="3838" width="41.7109375" style="146" customWidth="1"/>
    <col min="3839" max="3841" width="0" style="146" hidden="1" customWidth="1"/>
    <col min="3842" max="3842" width="12.7109375" style="146" customWidth="1"/>
    <col min="3843" max="3843" width="24.140625" style="146" customWidth="1"/>
    <col min="3844" max="3844" width="0" style="146" hidden="1" customWidth="1"/>
    <col min="3845" max="3845" width="7.85546875" style="146" customWidth="1"/>
    <col min="3846" max="3846" width="13.140625" style="146" customWidth="1"/>
    <col min="3847" max="3847" width="13" style="146" customWidth="1"/>
    <col min="3848" max="3848" width="10.5703125" style="146" customWidth="1"/>
    <col min="3849" max="3849" width="11.42578125" style="146" customWidth="1"/>
    <col min="3850" max="3850" width="12.85546875" style="146" bestFit="1" customWidth="1"/>
    <col min="3851" max="3851" width="0" style="146" hidden="1" customWidth="1"/>
    <col min="3852" max="3852" width="10" style="146" bestFit="1" customWidth="1"/>
    <col min="3853" max="3853" width="8.85546875" style="146" customWidth="1"/>
    <col min="3854" max="3854" width="8.5703125" style="146" customWidth="1"/>
    <col min="3855" max="3855" width="10.5703125" style="146" customWidth="1"/>
    <col min="3856" max="3856" width="9.42578125" style="146" customWidth="1"/>
    <col min="3857" max="3857" width="7.42578125" style="146" customWidth="1"/>
    <col min="3858" max="3858" width="7.5703125" style="146" customWidth="1"/>
    <col min="3859" max="3859" width="11" style="146" customWidth="1"/>
    <col min="3860" max="3860" width="13.42578125" style="146" customWidth="1"/>
    <col min="3861" max="3861" width="12.42578125" style="146" customWidth="1"/>
    <col min="3862" max="3863" width="7.85546875" style="146" customWidth="1"/>
    <col min="3864" max="3864" width="12.140625" style="146" customWidth="1"/>
    <col min="3865" max="3865" width="20.85546875" style="146" customWidth="1"/>
    <col min="3866" max="3867" width="10" style="146" customWidth="1"/>
    <col min="3868" max="3868" width="11.28515625" style="146" bestFit="1" customWidth="1"/>
    <col min="3869" max="3869" width="10" style="146" customWidth="1"/>
    <col min="3870" max="3873" width="10.140625" style="146" bestFit="1" customWidth="1"/>
    <col min="3874" max="4092" width="9.140625" style="146"/>
    <col min="4093" max="4093" width="7.42578125" style="146" customWidth="1"/>
    <col min="4094" max="4094" width="41.7109375" style="146" customWidth="1"/>
    <col min="4095" max="4097" width="0" style="146" hidden="1" customWidth="1"/>
    <col min="4098" max="4098" width="12.7109375" style="146" customWidth="1"/>
    <col min="4099" max="4099" width="24.140625" style="146" customWidth="1"/>
    <col min="4100" max="4100" width="0" style="146" hidden="1" customWidth="1"/>
    <col min="4101" max="4101" width="7.85546875" style="146" customWidth="1"/>
    <col min="4102" max="4102" width="13.140625" style="146" customWidth="1"/>
    <col min="4103" max="4103" width="13" style="146" customWidth="1"/>
    <col min="4104" max="4104" width="10.5703125" style="146" customWidth="1"/>
    <col min="4105" max="4105" width="11.42578125" style="146" customWidth="1"/>
    <col min="4106" max="4106" width="12.85546875" style="146" bestFit="1" customWidth="1"/>
    <col min="4107" max="4107" width="0" style="146" hidden="1" customWidth="1"/>
    <col min="4108" max="4108" width="10" style="146" bestFit="1" customWidth="1"/>
    <col min="4109" max="4109" width="8.85546875" style="146" customWidth="1"/>
    <col min="4110" max="4110" width="8.5703125" style="146" customWidth="1"/>
    <col min="4111" max="4111" width="10.5703125" style="146" customWidth="1"/>
    <col min="4112" max="4112" width="9.42578125" style="146" customWidth="1"/>
    <col min="4113" max="4113" width="7.42578125" style="146" customWidth="1"/>
    <col min="4114" max="4114" width="7.5703125" style="146" customWidth="1"/>
    <col min="4115" max="4115" width="11" style="146" customWidth="1"/>
    <col min="4116" max="4116" width="13.42578125" style="146" customWidth="1"/>
    <col min="4117" max="4117" width="12.42578125" style="146" customWidth="1"/>
    <col min="4118" max="4119" width="7.85546875" style="146" customWidth="1"/>
    <col min="4120" max="4120" width="12.140625" style="146" customWidth="1"/>
    <col min="4121" max="4121" width="20.85546875" style="146" customWidth="1"/>
    <col min="4122" max="4123" width="10" style="146" customWidth="1"/>
    <col min="4124" max="4124" width="11.28515625" style="146" bestFit="1" customWidth="1"/>
    <col min="4125" max="4125" width="10" style="146" customWidth="1"/>
    <col min="4126" max="4129" width="10.140625" style="146" bestFit="1" customWidth="1"/>
    <col min="4130" max="4348" width="9.140625" style="146"/>
    <col min="4349" max="4349" width="7.42578125" style="146" customWidth="1"/>
    <col min="4350" max="4350" width="41.7109375" style="146" customWidth="1"/>
    <col min="4351" max="4353" width="0" style="146" hidden="1" customWidth="1"/>
    <col min="4354" max="4354" width="12.7109375" style="146" customWidth="1"/>
    <col min="4355" max="4355" width="24.140625" style="146" customWidth="1"/>
    <col min="4356" max="4356" width="0" style="146" hidden="1" customWidth="1"/>
    <col min="4357" max="4357" width="7.85546875" style="146" customWidth="1"/>
    <col min="4358" max="4358" width="13.140625" style="146" customWidth="1"/>
    <col min="4359" max="4359" width="13" style="146" customWidth="1"/>
    <col min="4360" max="4360" width="10.5703125" style="146" customWidth="1"/>
    <col min="4361" max="4361" width="11.42578125" style="146" customWidth="1"/>
    <col min="4362" max="4362" width="12.85546875" style="146" bestFit="1" customWidth="1"/>
    <col min="4363" max="4363" width="0" style="146" hidden="1" customWidth="1"/>
    <col min="4364" max="4364" width="10" style="146" bestFit="1" customWidth="1"/>
    <col min="4365" max="4365" width="8.85546875" style="146" customWidth="1"/>
    <col min="4366" max="4366" width="8.5703125" style="146" customWidth="1"/>
    <col min="4367" max="4367" width="10.5703125" style="146" customWidth="1"/>
    <col min="4368" max="4368" width="9.42578125" style="146" customWidth="1"/>
    <col min="4369" max="4369" width="7.42578125" style="146" customWidth="1"/>
    <col min="4370" max="4370" width="7.5703125" style="146" customWidth="1"/>
    <col min="4371" max="4371" width="11" style="146" customWidth="1"/>
    <col min="4372" max="4372" width="13.42578125" style="146" customWidth="1"/>
    <col min="4373" max="4373" width="12.42578125" style="146" customWidth="1"/>
    <col min="4374" max="4375" width="7.85546875" style="146" customWidth="1"/>
    <col min="4376" max="4376" width="12.140625" style="146" customWidth="1"/>
    <col min="4377" max="4377" width="20.85546875" style="146" customWidth="1"/>
    <col min="4378" max="4379" width="10" style="146" customWidth="1"/>
    <col min="4380" max="4380" width="11.28515625" style="146" bestFit="1" customWidth="1"/>
    <col min="4381" max="4381" width="10" style="146" customWidth="1"/>
    <col min="4382" max="4385" width="10.140625" style="146" bestFit="1" customWidth="1"/>
    <col min="4386" max="4604" width="9.140625" style="146"/>
    <col min="4605" max="4605" width="7.42578125" style="146" customWidth="1"/>
    <col min="4606" max="4606" width="41.7109375" style="146" customWidth="1"/>
    <col min="4607" max="4609" width="0" style="146" hidden="1" customWidth="1"/>
    <col min="4610" max="4610" width="12.7109375" style="146" customWidth="1"/>
    <col min="4611" max="4611" width="24.140625" style="146" customWidth="1"/>
    <col min="4612" max="4612" width="0" style="146" hidden="1" customWidth="1"/>
    <col min="4613" max="4613" width="7.85546875" style="146" customWidth="1"/>
    <col min="4614" max="4614" width="13.140625" style="146" customWidth="1"/>
    <col min="4615" max="4615" width="13" style="146" customWidth="1"/>
    <col min="4616" max="4616" width="10.5703125" style="146" customWidth="1"/>
    <col min="4617" max="4617" width="11.42578125" style="146" customWidth="1"/>
    <col min="4618" max="4618" width="12.85546875" style="146" bestFit="1" customWidth="1"/>
    <col min="4619" max="4619" width="0" style="146" hidden="1" customWidth="1"/>
    <col min="4620" max="4620" width="10" style="146" bestFit="1" customWidth="1"/>
    <col min="4621" max="4621" width="8.85546875" style="146" customWidth="1"/>
    <col min="4622" max="4622" width="8.5703125" style="146" customWidth="1"/>
    <col min="4623" max="4623" width="10.5703125" style="146" customWidth="1"/>
    <col min="4624" max="4624" width="9.42578125" style="146" customWidth="1"/>
    <col min="4625" max="4625" width="7.42578125" style="146" customWidth="1"/>
    <col min="4626" max="4626" width="7.5703125" style="146" customWidth="1"/>
    <col min="4627" max="4627" width="11" style="146" customWidth="1"/>
    <col min="4628" max="4628" width="13.42578125" style="146" customWidth="1"/>
    <col min="4629" max="4629" width="12.42578125" style="146" customWidth="1"/>
    <col min="4630" max="4631" width="7.85546875" style="146" customWidth="1"/>
    <col min="4632" max="4632" width="12.140625" style="146" customWidth="1"/>
    <col min="4633" max="4633" width="20.85546875" style="146" customWidth="1"/>
    <col min="4634" max="4635" width="10" style="146" customWidth="1"/>
    <col min="4636" max="4636" width="11.28515625" style="146" bestFit="1" customWidth="1"/>
    <col min="4637" max="4637" width="10" style="146" customWidth="1"/>
    <col min="4638" max="4641" width="10.140625" style="146" bestFit="1" customWidth="1"/>
    <col min="4642" max="4860" width="9.140625" style="146"/>
    <col min="4861" max="4861" width="7.42578125" style="146" customWidth="1"/>
    <col min="4862" max="4862" width="41.7109375" style="146" customWidth="1"/>
    <col min="4863" max="4865" width="0" style="146" hidden="1" customWidth="1"/>
    <col min="4866" max="4866" width="12.7109375" style="146" customWidth="1"/>
    <col min="4867" max="4867" width="24.140625" style="146" customWidth="1"/>
    <col min="4868" max="4868" width="0" style="146" hidden="1" customWidth="1"/>
    <col min="4869" max="4869" width="7.85546875" style="146" customWidth="1"/>
    <col min="4870" max="4870" width="13.140625" style="146" customWidth="1"/>
    <col min="4871" max="4871" width="13" style="146" customWidth="1"/>
    <col min="4872" max="4872" width="10.5703125" style="146" customWidth="1"/>
    <col min="4873" max="4873" width="11.42578125" style="146" customWidth="1"/>
    <col min="4874" max="4874" width="12.85546875" style="146" bestFit="1" customWidth="1"/>
    <col min="4875" max="4875" width="0" style="146" hidden="1" customWidth="1"/>
    <col min="4876" max="4876" width="10" style="146" bestFit="1" customWidth="1"/>
    <col min="4877" max="4877" width="8.85546875" style="146" customWidth="1"/>
    <col min="4878" max="4878" width="8.5703125" style="146" customWidth="1"/>
    <col min="4879" max="4879" width="10.5703125" style="146" customWidth="1"/>
    <col min="4880" max="4880" width="9.42578125" style="146" customWidth="1"/>
    <col min="4881" max="4881" width="7.42578125" style="146" customWidth="1"/>
    <col min="4882" max="4882" width="7.5703125" style="146" customWidth="1"/>
    <col min="4883" max="4883" width="11" style="146" customWidth="1"/>
    <col min="4884" max="4884" width="13.42578125" style="146" customWidth="1"/>
    <col min="4885" max="4885" width="12.42578125" style="146" customWidth="1"/>
    <col min="4886" max="4887" width="7.85546875" style="146" customWidth="1"/>
    <col min="4888" max="4888" width="12.140625" style="146" customWidth="1"/>
    <col min="4889" max="4889" width="20.85546875" style="146" customWidth="1"/>
    <col min="4890" max="4891" width="10" style="146" customWidth="1"/>
    <col min="4892" max="4892" width="11.28515625" style="146" bestFit="1" customWidth="1"/>
    <col min="4893" max="4893" width="10" style="146" customWidth="1"/>
    <col min="4894" max="4897" width="10.140625" style="146" bestFit="1" customWidth="1"/>
    <col min="4898" max="5116" width="9.140625" style="146"/>
    <col min="5117" max="5117" width="7.42578125" style="146" customWidth="1"/>
    <col min="5118" max="5118" width="41.7109375" style="146" customWidth="1"/>
    <col min="5119" max="5121" width="0" style="146" hidden="1" customWidth="1"/>
    <col min="5122" max="5122" width="12.7109375" style="146" customWidth="1"/>
    <col min="5123" max="5123" width="24.140625" style="146" customWidth="1"/>
    <col min="5124" max="5124" width="0" style="146" hidden="1" customWidth="1"/>
    <col min="5125" max="5125" width="7.85546875" style="146" customWidth="1"/>
    <col min="5126" max="5126" width="13.140625" style="146" customWidth="1"/>
    <col min="5127" max="5127" width="13" style="146" customWidth="1"/>
    <col min="5128" max="5128" width="10.5703125" style="146" customWidth="1"/>
    <col min="5129" max="5129" width="11.42578125" style="146" customWidth="1"/>
    <col min="5130" max="5130" width="12.85546875" style="146" bestFit="1" customWidth="1"/>
    <col min="5131" max="5131" width="0" style="146" hidden="1" customWidth="1"/>
    <col min="5132" max="5132" width="10" style="146" bestFit="1" customWidth="1"/>
    <col min="5133" max="5133" width="8.85546875" style="146" customWidth="1"/>
    <col min="5134" max="5134" width="8.5703125" style="146" customWidth="1"/>
    <col min="5135" max="5135" width="10.5703125" style="146" customWidth="1"/>
    <col min="5136" max="5136" width="9.42578125" style="146" customWidth="1"/>
    <col min="5137" max="5137" width="7.42578125" style="146" customWidth="1"/>
    <col min="5138" max="5138" width="7.5703125" style="146" customWidth="1"/>
    <col min="5139" max="5139" width="11" style="146" customWidth="1"/>
    <col min="5140" max="5140" width="13.42578125" style="146" customWidth="1"/>
    <col min="5141" max="5141" width="12.42578125" style="146" customWidth="1"/>
    <col min="5142" max="5143" width="7.85546875" style="146" customWidth="1"/>
    <col min="5144" max="5144" width="12.140625" style="146" customWidth="1"/>
    <col min="5145" max="5145" width="20.85546875" style="146" customWidth="1"/>
    <col min="5146" max="5147" width="10" style="146" customWidth="1"/>
    <col min="5148" max="5148" width="11.28515625" style="146" bestFit="1" customWidth="1"/>
    <col min="5149" max="5149" width="10" style="146" customWidth="1"/>
    <col min="5150" max="5153" width="10.140625" style="146" bestFit="1" customWidth="1"/>
    <col min="5154" max="5372" width="9.140625" style="146"/>
    <col min="5373" max="5373" width="7.42578125" style="146" customWidth="1"/>
    <col min="5374" max="5374" width="41.7109375" style="146" customWidth="1"/>
    <col min="5375" max="5377" width="0" style="146" hidden="1" customWidth="1"/>
    <col min="5378" max="5378" width="12.7109375" style="146" customWidth="1"/>
    <col min="5379" max="5379" width="24.140625" style="146" customWidth="1"/>
    <col min="5380" max="5380" width="0" style="146" hidden="1" customWidth="1"/>
    <col min="5381" max="5381" width="7.85546875" style="146" customWidth="1"/>
    <col min="5382" max="5382" width="13.140625" style="146" customWidth="1"/>
    <col min="5383" max="5383" width="13" style="146" customWidth="1"/>
    <col min="5384" max="5384" width="10.5703125" style="146" customWidth="1"/>
    <col min="5385" max="5385" width="11.42578125" style="146" customWidth="1"/>
    <col min="5386" max="5386" width="12.85546875" style="146" bestFit="1" customWidth="1"/>
    <col min="5387" max="5387" width="0" style="146" hidden="1" customWidth="1"/>
    <col min="5388" max="5388" width="10" style="146" bestFit="1" customWidth="1"/>
    <col min="5389" max="5389" width="8.85546875" style="146" customWidth="1"/>
    <col min="5390" max="5390" width="8.5703125" style="146" customWidth="1"/>
    <col min="5391" max="5391" width="10.5703125" style="146" customWidth="1"/>
    <col min="5392" max="5392" width="9.42578125" style="146" customWidth="1"/>
    <col min="5393" max="5393" width="7.42578125" style="146" customWidth="1"/>
    <col min="5394" max="5394" width="7.5703125" style="146" customWidth="1"/>
    <col min="5395" max="5395" width="11" style="146" customWidth="1"/>
    <col min="5396" max="5396" width="13.42578125" style="146" customWidth="1"/>
    <col min="5397" max="5397" width="12.42578125" style="146" customWidth="1"/>
    <col min="5398" max="5399" width="7.85546875" style="146" customWidth="1"/>
    <col min="5400" max="5400" width="12.140625" style="146" customWidth="1"/>
    <col min="5401" max="5401" width="20.85546875" style="146" customWidth="1"/>
    <col min="5402" max="5403" width="10" style="146" customWidth="1"/>
    <col min="5404" max="5404" width="11.28515625" style="146" bestFit="1" customWidth="1"/>
    <col min="5405" max="5405" width="10" style="146" customWidth="1"/>
    <col min="5406" max="5409" width="10.140625" style="146" bestFit="1" customWidth="1"/>
    <col min="5410" max="5628" width="9.140625" style="146"/>
    <col min="5629" max="5629" width="7.42578125" style="146" customWidth="1"/>
    <col min="5630" max="5630" width="41.7109375" style="146" customWidth="1"/>
    <col min="5631" max="5633" width="0" style="146" hidden="1" customWidth="1"/>
    <col min="5634" max="5634" width="12.7109375" style="146" customWidth="1"/>
    <col min="5635" max="5635" width="24.140625" style="146" customWidth="1"/>
    <col min="5636" max="5636" width="0" style="146" hidden="1" customWidth="1"/>
    <col min="5637" max="5637" width="7.85546875" style="146" customWidth="1"/>
    <col min="5638" max="5638" width="13.140625" style="146" customWidth="1"/>
    <col min="5639" max="5639" width="13" style="146" customWidth="1"/>
    <col min="5640" max="5640" width="10.5703125" style="146" customWidth="1"/>
    <col min="5641" max="5641" width="11.42578125" style="146" customWidth="1"/>
    <col min="5642" max="5642" width="12.85546875" style="146" bestFit="1" customWidth="1"/>
    <col min="5643" max="5643" width="0" style="146" hidden="1" customWidth="1"/>
    <col min="5644" max="5644" width="10" style="146" bestFit="1" customWidth="1"/>
    <col min="5645" max="5645" width="8.85546875" style="146" customWidth="1"/>
    <col min="5646" max="5646" width="8.5703125" style="146" customWidth="1"/>
    <col min="5647" max="5647" width="10.5703125" style="146" customWidth="1"/>
    <col min="5648" max="5648" width="9.42578125" style="146" customWidth="1"/>
    <col min="5649" max="5649" width="7.42578125" style="146" customWidth="1"/>
    <col min="5650" max="5650" width="7.5703125" style="146" customWidth="1"/>
    <col min="5651" max="5651" width="11" style="146" customWidth="1"/>
    <col min="5652" max="5652" width="13.42578125" style="146" customWidth="1"/>
    <col min="5653" max="5653" width="12.42578125" style="146" customWidth="1"/>
    <col min="5654" max="5655" width="7.85546875" style="146" customWidth="1"/>
    <col min="5656" max="5656" width="12.140625" style="146" customWidth="1"/>
    <col min="5657" max="5657" width="20.85546875" style="146" customWidth="1"/>
    <col min="5658" max="5659" width="10" style="146" customWidth="1"/>
    <col min="5660" max="5660" width="11.28515625" style="146" bestFit="1" customWidth="1"/>
    <col min="5661" max="5661" width="10" style="146" customWidth="1"/>
    <col min="5662" max="5665" width="10.140625" style="146" bestFit="1" customWidth="1"/>
    <col min="5666" max="5884" width="9.140625" style="146"/>
    <col min="5885" max="5885" width="7.42578125" style="146" customWidth="1"/>
    <col min="5886" max="5886" width="41.7109375" style="146" customWidth="1"/>
    <col min="5887" max="5889" width="0" style="146" hidden="1" customWidth="1"/>
    <col min="5890" max="5890" width="12.7109375" style="146" customWidth="1"/>
    <col min="5891" max="5891" width="24.140625" style="146" customWidth="1"/>
    <col min="5892" max="5892" width="0" style="146" hidden="1" customWidth="1"/>
    <col min="5893" max="5893" width="7.85546875" style="146" customWidth="1"/>
    <col min="5894" max="5894" width="13.140625" style="146" customWidth="1"/>
    <col min="5895" max="5895" width="13" style="146" customWidth="1"/>
    <col min="5896" max="5896" width="10.5703125" style="146" customWidth="1"/>
    <col min="5897" max="5897" width="11.42578125" style="146" customWidth="1"/>
    <col min="5898" max="5898" width="12.85546875" style="146" bestFit="1" customWidth="1"/>
    <col min="5899" max="5899" width="0" style="146" hidden="1" customWidth="1"/>
    <col min="5900" max="5900" width="10" style="146" bestFit="1" customWidth="1"/>
    <col min="5901" max="5901" width="8.85546875" style="146" customWidth="1"/>
    <col min="5902" max="5902" width="8.5703125" style="146" customWidth="1"/>
    <col min="5903" max="5903" width="10.5703125" style="146" customWidth="1"/>
    <col min="5904" max="5904" width="9.42578125" style="146" customWidth="1"/>
    <col min="5905" max="5905" width="7.42578125" style="146" customWidth="1"/>
    <col min="5906" max="5906" width="7.5703125" style="146" customWidth="1"/>
    <col min="5907" max="5907" width="11" style="146" customWidth="1"/>
    <col min="5908" max="5908" width="13.42578125" style="146" customWidth="1"/>
    <col min="5909" max="5909" width="12.42578125" style="146" customWidth="1"/>
    <col min="5910" max="5911" width="7.85546875" style="146" customWidth="1"/>
    <col min="5912" max="5912" width="12.140625" style="146" customWidth="1"/>
    <col min="5913" max="5913" width="20.85546875" style="146" customWidth="1"/>
    <col min="5914" max="5915" width="10" style="146" customWidth="1"/>
    <col min="5916" max="5916" width="11.28515625" style="146" bestFit="1" customWidth="1"/>
    <col min="5917" max="5917" width="10" style="146" customWidth="1"/>
    <col min="5918" max="5921" width="10.140625" style="146" bestFit="1" customWidth="1"/>
    <col min="5922" max="6140" width="9.140625" style="146"/>
    <col min="6141" max="6141" width="7.42578125" style="146" customWidth="1"/>
    <col min="6142" max="6142" width="41.7109375" style="146" customWidth="1"/>
    <col min="6143" max="6145" width="0" style="146" hidden="1" customWidth="1"/>
    <col min="6146" max="6146" width="12.7109375" style="146" customWidth="1"/>
    <col min="6147" max="6147" width="24.140625" style="146" customWidth="1"/>
    <col min="6148" max="6148" width="0" style="146" hidden="1" customWidth="1"/>
    <col min="6149" max="6149" width="7.85546875" style="146" customWidth="1"/>
    <col min="6150" max="6150" width="13.140625" style="146" customWidth="1"/>
    <col min="6151" max="6151" width="13" style="146" customWidth="1"/>
    <col min="6152" max="6152" width="10.5703125" style="146" customWidth="1"/>
    <col min="6153" max="6153" width="11.42578125" style="146" customWidth="1"/>
    <col min="6154" max="6154" width="12.85546875" style="146" bestFit="1" customWidth="1"/>
    <col min="6155" max="6155" width="0" style="146" hidden="1" customWidth="1"/>
    <col min="6156" max="6156" width="10" style="146" bestFit="1" customWidth="1"/>
    <col min="6157" max="6157" width="8.85546875" style="146" customWidth="1"/>
    <col min="6158" max="6158" width="8.5703125" style="146" customWidth="1"/>
    <col min="6159" max="6159" width="10.5703125" style="146" customWidth="1"/>
    <col min="6160" max="6160" width="9.42578125" style="146" customWidth="1"/>
    <col min="6161" max="6161" width="7.42578125" style="146" customWidth="1"/>
    <col min="6162" max="6162" width="7.5703125" style="146" customWidth="1"/>
    <col min="6163" max="6163" width="11" style="146" customWidth="1"/>
    <col min="6164" max="6164" width="13.42578125" style="146" customWidth="1"/>
    <col min="6165" max="6165" width="12.42578125" style="146" customWidth="1"/>
    <col min="6166" max="6167" width="7.85546875" style="146" customWidth="1"/>
    <col min="6168" max="6168" width="12.140625" style="146" customWidth="1"/>
    <col min="6169" max="6169" width="20.85546875" style="146" customWidth="1"/>
    <col min="6170" max="6171" width="10" style="146" customWidth="1"/>
    <col min="6172" max="6172" width="11.28515625" style="146" bestFit="1" customWidth="1"/>
    <col min="6173" max="6173" width="10" style="146" customWidth="1"/>
    <col min="6174" max="6177" width="10.140625" style="146" bestFit="1" customWidth="1"/>
    <col min="6178" max="6396" width="9.140625" style="146"/>
    <col min="6397" max="6397" width="7.42578125" style="146" customWidth="1"/>
    <col min="6398" max="6398" width="41.7109375" style="146" customWidth="1"/>
    <col min="6399" max="6401" width="0" style="146" hidden="1" customWidth="1"/>
    <col min="6402" max="6402" width="12.7109375" style="146" customWidth="1"/>
    <col min="6403" max="6403" width="24.140625" style="146" customWidth="1"/>
    <col min="6404" max="6404" width="0" style="146" hidden="1" customWidth="1"/>
    <col min="6405" max="6405" width="7.85546875" style="146" customWidth="1"/>
    <col min="6406" max="6406" width="13.140625" style="146" customWidth="1"/>
    <col min="6407" max="6407" width="13" style="146" customWidth="1"/>
    <col min="6408" max="6408" width="10.5703125" style="146" customWidth="1"/>
    <col min="6409" max="6409" width="11.42578125" style="146" customWidth="1"/>
    <col min="6410" max="6410" width="12.85546875" style="146" bestFit="1" customWidth="1"/>
    <col min="6411" max="6411" width="0" style="146" hidden="1" customWidth="1"/>
    <col min="6412" max="6412" width="10" style="146" bestFit="1" customWidth="1"/>
    <col min="6413" max="6413" width="8.85546875" style="146" customWidth="1"/>
    <col min="6414" max="6414" width="8.5703125" style="146" customWidth="1"/>
    <col min="6415" max="6415" width="10.5703125" style="146" customWidth="1"/>
    <col min="6416" max="6416" width="9.42578125" style="146" customWidth="1"/>
    <col min="6417" max="6417" width="7.42578125" style="146" customWidth="1"/>
    <col min="6418" max="6418" width="7.5703125" style="146" customWidth="1"/>
    <col min="6419" max="6419" width="11" style="146" customWidth="1"/>
    <col min="6420" max="6420" width="13.42578125" style="146" customWidth="1"/>
    <col min="6421" max="6421" width="12.42578125" style="146" customWidth="1"/>
    <col min="6422" max="6423" width="7.85546875" style="146" customWidth="1"/>
    <col min="6424" max="6424" width="12.140625" style="146" customWidth="1"/>
    <col min="6425" max="6425" width="20.85546875" style="146" customWidth="1"/>
    <col min="6426" max="6427" width="10" style="146" customWidth="1"/>
    <col min="6428" max="6428" width="11.28515625" style="146" bestFit="1" customWidth="1"/>
    <col min="6429" max="6429" width="10" style="146" customWidth="1"/>
    <col min="6430" max="6433" width="10.140625" style="146" bestFit="1" customWidth="1"/>
    <col min="6434" max="6652" width="9.140625" style="146"/>
    <col min="6653" max="6653" width="7.42578125" style="146" customWidth="1"/>
    <col min="6654" max="6654" width="41.7109375" style="146" customWidth="1"/>
    <col min="6655" max="6657" width="0" style="146" hidden="1" customWidth="1"/>
    <col min="6658" max="6658" width="12.7109375" style="146" customWidth="1"/>
    <col min="6659" max="6659" width="24.140625" style="146" customWidth="1"/>
    <col min="6660" max="6660" width="0" style="146" hidden="1" customWidth="1"/>
    <col min="6661" max="6661" width="7.85546875" style="146" customWidth="1"/>
    <col min="6662" max="6662" width="13.140625" style="146" customWidth="1"/>
    <col min="6663" max="6663" width="13" style="146" customWidth="1"/>
    <col min="6664" max="6664" width="10.5703125" style="146" customWidth="1"/>
    <col min="6665" max="6665" width="11.42578125" style="146" customWidth="1"/>
    <col min="6666" max="6666" width="12.85546875" style="146" bestFit="1" customWidth="1"/>
    <col min="6667" max="6667" width="0" style="146" hidden="1" customWidth="1"/>
    <col min="6668" max="6668" width="10" style="146" bestFit="1" customWidth="1"/>
    <col min="6669" max="6669" width="8.85546875" style="146" customWidth="1"/>
    <col min="6670" max="6670" width="8.5703125" style="146" customWidth="1"/>
    <col min="6671" max="6671" width="10.5703125" style="146" customWidth="1"/>
    <col min="6672" max="6672" width="9.42578125" style="146" customWidth="1"/>
    <col min="6673" max="6673" width="7.42578125" style="146" customWidth="1"/>
    <col min="6674" max="6674" width="7.5703125" style="146" customWidth="1"/>
    <col min="6675" max="6675" width="11" style="146" customWidth="1"/>
    <col min="6676" max="6676" width="13.42578125" style="146" customWidth="1"/>
    <col min="6677" max="6677" width="12.42578125" style="146" customWidth="1"/>
    <col min="6678" max="6679" width="7.85546875" style="146" customWidth="1"/>
    <col min="6680" max="6680" width="12.140625" style="146" customWidth="1"/>
    <col min="6681" max="6681" width="20.85546875" style="146" customWidth="1"/>
    <col min="6682" max="6683" width="10" style="146" customWidth="1"/>
    <col min="6684" max="6684" width="11.28515625" style="146" bestFit="1" customWidth="1"/>
    <col min="6685" max="6685" width="10" style="146" customWidth="1"/>
    <col min="6686" max="6689" width="10.140625" style="146" bestFit="1" customWidth="1"/>
    <col min="6690" max="6908" width="9.140625" style="146"/>
    <col min="6909" max="6909" width="7.42578125" style="146" customWidth="1"/>
    <col min="6910" max="6910" width="41.7109375" style="146" customWidth="1"/>
    <col min="6911" max="6913" width="0" style="146" hidden="1" customWidth="1"/>
    <col min="6914" max="6914" width="12.7109375" style="146" customWidth="1"/>
    <col min="6915" max="6915" width="24.140625" style="146" customWidth="1"/>
    <col min="6916" max="6916" width="0" style="146" hidden="1" customWidth="1"/>
    <col min="6917" max="6917" width="7.85546875" style="146" customWidth="1"/>
    <col min="6918" max="6918" width="13.140625" style="146" customWidth="1"/>
    <col min="6919" max="6919" width="13" style="146" customWidth="1"/>
    <col min="6920" max="6920" width="10.5703125" style="146" customWidth="1"/>
    <col min="6921" max="6921" width="11.42578125" style="146" customWidth="1"/>
    <col min="6922" max="6922" width="12.85546875" style="146" bestFit="1" customWidth="1"/>
    <col min="6923" max="6923" width="0" style="146" hidden="1" customWidth="1"/>
    <col min="6924" max="6924" width="10" style="146" bestFit="1" customWidth="1"/>
    <col min="6925" max="6925" width="8.85546875" style="146" customWidth="1"/>
    <col min="6926" max="6926" width="8.5703125" style="146" customWidth="1"/>
    <col min="6927" max="6927" width="10.5703125" style="146" customWidth="1"/>
    <col min="6928" max="6928" width="9.42578125" style="146" customWidth="1"/>
    <col min="6929" max="6929" width="7.42578125" style="146" customWidth="1"/>
    <col min="6930" max="6930" width="7.5703125" style="146" customWidth="1"/>
    <col min="6931" max="6931" width="11" style="146" customWidth="1"/>
    <col min="6932" max="6932" width="13.42578125" style="146" customWidth="1"/>
    <col min="6933" max="6933" width="12.42578125" style="146" customWidth="1"/>
    <col min="6934" max="6935" width="7.85546875" style="146" customWidth="1"/>
    <col min="6936" max="6936" width="12.140625" style="146" customWidth="1"/>
    <col min="6937" max="6937" width="20.85546875" style="146" customWidth="1"/>
    <col min="6938" max="6939" width="10" style="146" customWidth="1"/>
    <col min="6940" max="6940" width="11.28515625" style="146" bestFit="1" customWidth="1"/>
    <col min="6941" max="6941" width="10" style="146" customWidth="1"/>
    <col min="6942" max="6945" width="10.140625" style="146" bestFit="1" customWidth="1"/>
    <col min="6946" max="7164" width="9.140625" style="146"/>
    <col min="7165" max="7165" width="7.42578125" style="146" customWidth="1"/>
    <col min="7166" max="7166" width="41.7109375" style="146" customWidth="1"/>
    <col min="7167" max="7169" width="0" style="146" hidden="1" customWidth="1"/>
    <col min="7170" max="7170" width="12.7109375" style="146" customWidth="1"/>
    <col min="7171" max="7171" width="24.140625" style="146" customWidth="1"/>
    <col min="7172" max="7172" width="0" style="146" hidden="1" customWidth="1"/>
    <col min="7173" max="7173" width="7.85546875" style="146" customWidth="1"/>
    <col min="7174" max="7174" width="13.140625" style="146" customWidth="1"/>
    <col min="7175" max="7175" width="13" style="146" customWidth="1"/>
    <col min="7176" max="7176" width="10.5703125" style="146" customWidth="1"/>
    <col min="7177" max="7177" width="11.42578125" style="146" customWidth="1"/>
    <col min="7178" max="7178" width="12.85546875" style="146" bestFit="1" customWidth="1"/>
    <col min="7179" max="7179" width="0" style="146" hidden="1" customWidth="1"/>
    <col min="7180" max="7180" width="10" style="146" bestFit="1" customWidth="1"/>
    <col min="7181" max="7181" width="8.85546875" style="146" customWidth="1"/>
    <col min="7182" max="7182" width="8.5703125" style="146" customWidth="1"/>
    <col min="7183" max="7183" width="10.5703125" style="146" customWidth="1"/>
    <col min="7184" max="7184" width="9.42578125" style="146" customWidth="1"/>
    <col min="7185" max="7185" width="7.42578125" style="146" customWidth="1"/>
    <col min="7186" max="7186" width="7.5703125" style="146" customWidth="1"/>
    <col min="7187" max="7187" width="11" style="146" customWidth="1"/>
    <col min="7188" max="7188" width="13.42578125" style="146" customWidth="1"/>
    <col min="7189" max="7189" width="12.42578125" style="146" customWidth="1"/>
    <col min="7190" max="7191" width="7.85546875" style="146" customWidth="1"/>
    <col min="7192" max="7192" width="12.140625" style="146" customWidth="1"/>
    <col min="7193" max="7193" width="20.85546875" style="146" customWidth="1"/>
    <col min="7194" max="7195" width="10" style="146" customWidth="1"/>
    <col min="7196" max="7196" width="11.28515625" style="146" bestFit="1" customWidth="1"/>
    <col min="7197" max="7197" width="10" style="146" customWidth="1"/>
    <col min="7198" max="7201" width="10.140625" style="146" bestFit="1" customWidth="1"/>
    <col min="7202" max="7420" width="9.140625" style="146"/>
    <col min="7421" max="7421" width="7.42578125" style="146" customWidth="1"/>
    <col min="7422" max="7422" width="41.7109375" style="146" customWidth="1"/>
    <col min="7423" max="7425" width="0" style="146" hidden="1" customWidth="1"/>
    <col min="7426" max="7426" width="12.7109375" style="146" customWidth="1"/>
    <col min="7427" max="7427" width="24.140625" style="146" customWidth="1"/>
    <col min="7428" max="7428" width="0" style="146" hidden="1" customWidth="1"/>
    <col min="7429" max="7429" width="7.85546875" style="146" customWidth="1"/>
    <col min="7430" max="7430" width="13.140625" style="146" customWidth="1"/>
    <col min="7431" max="7431" width="13" style="146" customWidth="1"/>
    <col min="7432" max="7432" width="10.5703125" style="146" customWidth="1"/>
    <col min="7433" max="7433" width="11.42578125" style="146" customWidth="1"/>
    <col min="7434" max="7434" width="12.85546875" style="146" bestFit="1" customWidth="1"/>
    <col min="7435" max="7435" width="0" style="146" hidden="1" customWidth="1"/>
    <col min="7436" max="7436" width="10" style="146" bestFit="1" customWidth="1"/>
    <col min="7437" max="7437" width="8.85546875" style="146" customWidth="1"/>
    <col min="7438" max="7438" width="8.5703125" style="146" customWidth="1"/>
    <col min="7439" max="7439" width="10.5703125" style="146" customWidth="1"/>
    <col min="7440" max="7440" width="9.42578125" style="146" customWidth="1"/>
    <col min="7441" max="7441" width="7.42578125" style="146" customWidth="1"/>
    <col min="7442" max="7442" width="7.5703125" style="146" customWidth="1"/>
    <col min="7443" max="7443" width="11" style="146" customWidth="1"/>
    <col min="7444" max="7444" width="13.42578125" style="146" customWidth="1"/>
    <col min="7445" max="7445" width="12.42578125" style="146" customWidth="1"/>
    <col min="7446" max="7447" width="7.85546875" style="146" customWidth="1"/>
    <col min="7448" max="7448" width="12.140625" style="146" customWidth="1"/>
    <col min="7449" max="7449" width="20.85546875" style="146" customWidth="1"/>
    <col min="7450" max="7451" width="10" style="146" customWidth="1"/>
    <col min="7452" max="7452" width="11.28515625" style="146" bestFit="1" customWidth="1"/>
    <col min="7453" max="7453" width="10" style="146" customWidth="1"/>
    <col min="7454" max="7457" width="10.140625" style="146" bestFit="1" customWidth="1"/>
    <col min="7458" max="7676" width="9.140625" style="146"/>
    <col min="7677" max="7677" width="7.42578125" style="146" customWidth="1"/>
    <col min="7678" max="7678" width="41.7109375" style="146" customWidth="1"/>
    <col min="7679" max="7681" width="0" style="146" hidden="1" customWidth="1"/>
    <col min="7682" max="7682" width="12.7109375" style="146" customWidth="1"/>
    <col min="7683" max="7683" width="24.140625" style="146" customWidth="1"/>
    <col min="7684" max="7684" width="0" style="146" hidden="1" customWidth="1"/>
    <col min="7685" max="7685" width="7.85546875" style="146" customWidth="1"/>
    <col min="7686" max="7686" width="13.140625" style="146" customWidth="1"/>
    <col min="7687" max="7687" width="13" style="146" customWidth="1"/>
    <col min="7688" max="7688" width="10.5703125" style="146" customWidth="1"/>
    <col min="7689" max="7689" width="11.42578125" style="146" customWidth="1"/>
    <col min="7690" max="7690" width="12.85546875" style="146" bestFit="1" customWidth="1"/>
    <col min="7691" max="7691" width="0" style="146" hidden="1" customWidth="1"/>
    <col min="7692" max="7692" width="10" style="146" bestFit="1" customWidth="1"/>
    <col min="7693" max="7693" width="8.85546875" style="146" customWidth="1"/>
    <col min="7694" max="7694" width="8.5703125" style="146" customWidth="1"/>
    <col min="7695" max="7695" width="10.5703125" style="146" customWidth="1"/>
    <col min="7696" max="7696" width="9.42578125" style="146" customWidth="1"/>
    <col min="7697" max="7697" width="7.42578125" style="146" customWidth="1"/>
    <col min="7698" max="7698" width="7.5703125" style="146" customWidth="1"/>
    <col min="7699" max="7699" width="11" style="146" customWidth="1"/>
    <col min="7700" max="7700" width="13.42578125" style="146" customWidth="1"/>
    <col min="7701" max="7701" width="12.42578125" style="146" customWidth="1"/>
    <col min="7702" max="7703" width="7.85546875" style="146" customWidth="1"/>
    <col min="7704" max="7704" width="12.140625" style="146" customWidth="1"/>
    <col min="7705" max="7705" width="20.85546875" style="146" customWidth="1"/>
    <col min="7706" max="7707" width="10" style="146" customWidth="1"/>
    <col min="7708" max="7708" width="11.28515625" style="146" bestFit="1" customWidth="1"/>
    <col min="7709" max="7709" width="10" style="146" customWidth="1"/>
    <col min="7710" max="7713" width="10.140625" style="146" bestFit="1" customWidth="1"/>
    <col min="7714" max="7932" width="9.140625" style="146"/>
    <col min="7933" max="7933" width="7.42578125" style="146" customWidth="1"/>
    <col min="7934" max="7934" width="41.7109375" style="146" customWidth="1"/>
    <col min="7935" max="7937" width="0" style="146" hidden="1" customWidth="1"/>
    <col min="7938" max="7938" width="12.7109375" style="146" customWidth="1"/>
    <col min="7939" max="7939" width="24.140625" style="146" customWidth="1"/>
    <col min="7940" max="7940" width="0" style="146" hidden="1" customWidth="1"/>
    <col min="7941" max="7941" width="7.85546875" style="146" customWidth="1"/>
    <col min="7942" max="7942" width="13.140625" style="146" customWidth="1"/>
    <col min="7943" max="7943" width="13" style="146" customWidth="1"/>
    <col min="7944" max="7944" width="10.5703125" style="146" customWidth="1"/>
    <col min="7945" max="7945" width="11.42578125" style="146" customWidth="1"/>
    <col min="7946" max="7946" width="12.85546875" style="146" bestFit="1" customWidth="1"/>
    <col min="7947" max="7947" width="0" style="146" hidden="1" customWidth="1"/>
    <col min="7948" max="7948" width="10" style="146" bestFit="1" customWidth="1"/>
    <col min="7949" max="7949" width="8.85546875" style="146" customWidth="1"/>
    <col min="7950" max="7950" width="8.5703125" style="146" customWidth="1"/>
    <col min="7951" max="7951" width="10.5703125" style="146" customWidth="1"/>
    <col min="7952" max="7952" width="9.42578125" style="146" customWidth="1"/>
    <col min="7953" max="7953" width="7.42578125" style="146" customWidth="1"/>
    <col min="7954" max="7954" width="7.5703125" style="146" customWidth="1"/>
    <col min="7955" max="7955" width="11" style="146" customWidth="1"/>
    <col min="7956" max="7956" width="13.42578125" style="146" customWidth="1"/>
    <col min="7957" max="7957" width="12.42578125" style="146" customWidth="1"/>
    <col min="7958" max="7959" width="7.85546875" style="146" customWidth="1"/>
    <col min="7960" max="7960" width="12.140625" style="146" customWidth="1"/>
    <col min="7961" max="7961" width="20.85546875" style="146" customWidth="1"/>
    <col min="7962" max="7963" width="10" style="146" customWidth="1"/>
    <col min="7964" max="7964" width="11.28515625" style="146" bestFit="1" customWidth="1"/>
    <col min="7965" max="7965" width="10" style="146" customWidth="1"/>
    <col min="7966" max="7969" width="10.140625" style="146" bestFit="1" customWidth="1"/>
    <col min="7970" max="8188" width="9.140625" style="146"/>
    <col min="8189" max="8189" width="7.42578125" style="146" customWidth="1"/>
    <col min="8190" max="8190" width="41.7109375" style="146" customWidth="1"/>
    <col min="8191" max="8193" width="0" style="146" hidden="1" customWidth="1"/>
    <col min="8194" max="8194" width="12.7109375" style="146" customWidth="1"/>
    <col min="8195" max="8195" width="24.140625" style="146" customWidth="1"/>
    <col min="8196" max="8196" width="0" style="146" hidden="1" customWidth="1"/>
    <col min="8197" max="8197" width="7.85546875" style="146" customWidth="1"/>
    <col min="8198" max="8198" width="13.140625" style="146" customWidth="1"/>
    <col min="8199" max="8199" width="13" style="146" customWidth="1"/>
    <col min="8200" max="8200" width="10.5703125" style="146" customWidth="1"/>
    <col min="8201" max="8201" width="11.42578125" style="146" customWidth="1"/>
    <col min="8202" max="8202" width="12.85546875" style="146" bestFit="1" customWidth="1"/>
    <col min="8203" max="8203" width="0" style="146" hidden="1" customWidth="1"/>
    <col min="8204" max="8204" width="10" style="146" bestFit="1" customWidth="1"/>
    <col min="8205" max="8205" width="8.85546875" style="146" customWidth="1"/>
    <col min="8206" max="8206" width="8.5703125" style="146" customWidth="1"/>
    <col min="8207" max="8207" width="10.5703125" style="146" customWidth="1"/>
    <col min="8208" max="8208" width="9.42578125" style="146" customWidth="1"/>
    <col min="8209" max="8209" width="7.42578125" style="146" customWidth="1"/>
    <col min="8210" max="8210" width="7.5703125" style="146" customWidth="1"/>
    <col min="8211" max="8211" width="11" style="146" customWidth="1"/>
    <col min="8212" max="8212" width="13.42578125" style="146" customWidth="1"/>
    <col min="8213" max="8213" width="12.42578125" style="146" customWidth="1"/>
    <col min="8214" max="8215" width="7.85546875" style="146" customWidth="1"/>
    <col min="8216" max="8216" width="12.140625" style="146" customWidth="1"/>
    <col min="8217" max="8217" width="20.85546875" style="146" customWidth="1"/>
    <col min="8218" max="8219" width="10" style="146" customWidth="1"/>
    <col min="8220" max="8220" width="11.28515625" style="146" bestFit="1" customWidth="1"/>
    <col min="8221" max="8221" width="10" style="146" customWidth="1"/>
    <col min="8222" max="8225" width="10.140625" style="146" bestFit="1" customWidth="1"/>
    <col min="8226" max="8444" width="9.140625" style="146"/>
    <col min="8445" max="8445" width="7.42578125" style="146" customWidth="1"/>
    <col min="8446" max="8446" width="41.7109375" style="146" customWidth="1"/>
    <col min="8447" max="8449" width="0" style="146" hidden="1" customWidth="1"/>
    <col min="8450" max="8450" width="12.7109375" style="146" customWidth="1"/>
    <col min="8451" max="8451" width="24.140625" style="146" customWidth="1"/>
    <col min="8452" max="8452" width="0" style="146" hidden="1" customWidth="1"/>
    <col min="8453" max="8453" width="7.85546875" style="146" customWidth="1"/>
    <col min="8454" max="8454" width="13.140625" style="146" customWidth="1"/>
    <col min="8455" max="8455" width="13" style="146" customWidth="1"/>
    <col min="8456" max="8456" width="10.5703125" style="146" customWidth="1"/>
    <col min="8457" max="8457" width="11.42578125" style="146" customWidth="1"/>
    <col min="8458" max="8458" width="12.85546875" style="146" bestFit="1" customWidth="1"/>
    <col min="8459" max="8459" width="0" style="146" hidden="1" customWidth="1"/>
    <col min="8460" max="8460" width="10" style="146" bestFit="1" customWidth="1"/>
    <col min="8461" max="8461" width="8.85546875" style="146" customWidth="1"/>
    <col min="8462" max="8462" width="8.5703125" style="146" customWidth="1"/>
    <col min="8463" max="8463" width="10.5703125" style="146" customWidth="1"/>
    <col min="8464" max="8464" width="9.42578125" style="146" customWidth="1"/>
    <col min="8465" max="8465" width="7.42578125" style="146" customWidth="1"/>
    <col min="8466" max="8466" width="7.5703125" style="146" customWidth="1"/>
    <col min="8467" max="8467" width="11" style="146" customWidth="1"/>
    <col min="8468" max="8468" width="13.42578125" style="146" customWidth="1"/>
    <col min="8469" max="8469" width="12.42578125" style="146" customWidth="1"/>
    <col min="8470" max="8471" width="7.85546875" style="146" customWidth="1"/>
    <col min="8472" max="8472" width="12.140625" style="146" customWidth="1"/>
    <col min="8473" max="8473" width="20.85546875" style="146" customWidth="1"/>
    <col min="8474" max="8475" width="10" style="146" customWidth="1"/>
    <col min="8476" max="8476" width="11.28515625" style="146" bestFit="1" customWidth="1"/>
    <col min="8477" max="8477" width="10" style="146" customWidth="1"/>
    <col min="8478" max="8481" width="10.140625" style="146" bestFit="1" customWidth="1"/>
    <col min="8482" max="8700" width="9.140625" style="146"/>
    <col min="8701" max="8701" width="7.42578125" style="146" customWidth="1"/>
    <col min="8702" max="8702" width="41.7109375" style="146" customWidth="1"/>
    <col min="8703" max="8705" width="0" style="146" hidden="1" customWidth="1"/>
    <col min="8706" max="8706" width="12.7109375" style="146" customWidth="1"/>
    <col min="8707" max="8707" width="24.140625" style="146" customWidth="1"/>
    <col min="8708" max="8708" width="0" style="146" hidden="1" customWidth="1"/>
    <col min="8709" max="8709" width="7.85546875" style="146" customWidth="1"/>
    <col min="8710" max="8710" width="13.140625" style="146" customWidth="1"/>
    <col min="8711" max="8711" width="13" style="146" customWidth="1"/>
    <col min="8712" max="8712" width="10.5703125" style="146" customWidth="1"/>
    <col min="8713" max="8713" width="11.42578125" style="146" customWidth="1"/>
    <col min="8714" max="8714" width="12.85546875" style="146" bestFit="1" customWidth="1"/>
    <col min="8715" max="8715" width="0" style="146" hidden="1" customWidth="1"/>
    <col min="8716" max="8716" width="10" style="146" bestFit="1" customWidth="1"/>
    <col min="8717" max="8717" width="8.85546875" style="146" customWidth="1"/>
    <col min="8718" max="8718" width="8.5703125" style="146" customWidth="1"/>
    <col min="8719" max="8719" width="10.5703125" style="146" customWidth="1"/>
    <col min="8720" max="8720" width="9.42578125" style="146" customWidth="1"/>
    <col min="8721" max="8721" width="7.42578125" style="146" customWidth="1"/>
    <col min="8722" max="8722" width="7.5703125" style="146" customWidth="1"/>
    <col min="8723" max="8723" width="11" style="146" customWidth="1"/>
    <col min="8724" max="8724" width="13.42578125" style="146" customWidth="1"/>
    <col min="8725" max="8725" width="12.42578125" style="146" customWidth="1"/>
    <col min="8726" max="8727" width="7.85546875" style="146" customWidth="1"/>
    <col min="8728" max="8728" width="12.140625" style="146" customWidth="1"/>
    <col min="8729" max="8729" width="20.85546875" style="146" customWidth="1"/>
    <col min="8730" max="8731" width="10" style="146" customWidth="1"/>
    <col min="8732" max="8732" width="11.28515625" style="146" bestFit="1" customWidth="1"/>
    <col min="8733" max="8733" width="10" style="146" customWidth="1"/>
    <col min="8734" max="8737" width="10.140625" style="146" bestFit="1" customWidth="1"/>
    <col min="8738" max="8956" width="9.140625" style="146"/>
    <col min="8957" max="8957" width="7.42578125" style="146" customWidth="1"/>
    <col min="8958" max="8958" width="41.7109375" style="146" customWidth="1"/>
    <col min="8959" max="8961" width="0" style="146" hidden="1" customWidth="1"/>
    <col min="8962" max="8962" width="12.7109375" style="146" customWidth="1"/>
    <col min="8963" max="8963" width="24.140625" style="146" customWidth="1"/>
    <col min="8964" max="8964" width="0" style="146" hidden="1" customWidth="1"/>
    <col min="8965" max="8965" width="7.85546875" style="146" customWidth="1"/>
    <col min="8966" max="8966" width="13.140625" style="146" customWidth="1"/>
    <col min="8967" max="8967" width="13" style="146" customWidth="1"/>
    <col min="8968" max="8968" width="10.5703125" style="146" customWidth="1"/>
    <col min="8969" max="8969" width="11.42578125" style="146" customWidth="1"/>
    <col min="8970" max="8970" width="12.85546875" style="146" bestFit="1" customWidth="1"/>
    <col min="8971" max="8971" width="0" style="146" hidden="1" customWidth="1"/>
    <col min="8972" max="8972" width="10" style="146" bestFit="1" customWidth="1"/>
    <col min="8973" max="8973" width="8.85546875" style="146" customWidth="1"/>
    <col min="8974" max="8974" width="8.5703125" style="146" customWidth="1"/>
    <col min="8975" max="8975" width="10.5703125" style="146" customWidth="1"/>
    <col min="8976" max="8976" width="9.42578125" style="146" customWidth="1"/>
    <col min="8977" max="8977" width="7.42578125" style="146" customWidth="1"/>
    <col min="8978" max="8978" width="7.5703125" style="146" customWidth="1"/>
    <col min="8979" max="8979" width="11" style="146" customWidth="1"/>
    <col min="8980" max="8980" width="13.42578125" style="146" customWidth="1"/>
    <col min="8981" max="8981" width="12.42578125" style="146" customWidth="1"/>
    <col min="8982" max="8983" width="7.85546875" style="146" customWidth="1"/>
    <col min="8984" max="8984" width="12.140625" style="146" customWidth="1"/>
    <col min="8985" max="8985" width="20.85546875" style="146" customWidth="1"/>
    <col min="8986" max="8987" width="10" style="146" customWidth="1"/>
    <col min="8988" max="8988" width="11.28515625" style="146" bestFit="1" customWidth="1"/>
    <col min="8989" max="8989" width="10" style="146" customWidth="1"/>
    <col min="8990" max="8993" width="10.140625" style="146" bestFit="1" customWidth="1"/>
    <col min="8994" max="9212" width="9.140625" style="146"/>
    <col min="9213" max="9213" width="7.42578125" style="146" customWidth="1"/>
    <col min="9214" max="9214" width="41.7109375" style="146" customWidth="1"/>
    <col min="9215" max="9217" width="0" style="146" hidden="1" customWidth="1"/>
    <col min="9218" max="9218" width="12.7109375" style="146" customWidth="1"/>
    <col min="9219" max="9219" width="24.140625" style="146" customWidth="1"/>
    <col min="9220" max="9220" width="0" style="146" hidden="1" customWidth="1"/>
    <col min="9221" max="9221" width="7.85546875" style="146" customWidth="1"/>
    <col min="9222" max="9222" width="13.140625" style="146" customWidth="1"/>
    <col min="9223" max="9223" width="13" style="146" customWidth="1"/>
    <col min="9224" max="9224" width="10.5703125" style="146" customWidth="1"/>
    <col min="9225" max="9225" width="11.42578125" style="146" customWidth="1"/>
    <col min="9226" max="9226" width="12.85546875" style="146" bestFit="1" customWidth="1"/>
    <col min="9227" max="9227" width="0" style="146" hidden="1" customWidth="1"/>
    <col min="9228" max="9228" width="10" style="146" bestFit="1" customWidth="1"/>
    <col min="9229" max="9229" width="8.85546875" style="146" customWidth="1"/>
    <col min="9230" max="9230" width="8.5703125" style="146" customWidth="1"/>
    <col min="9231" max="9231" width="10.5703125" style="146" customWidth="1"/>
    <col min="9232" max="9232" width="9.42578125" style="146" customWidth="1"/>
    <col min="9233" max="9233" width="7.42578125" style="146" customWidth="1"/>
    <col min="9234" max="9234" width="7.5703125" style="146" customWidth="1"/>
    <col min="9235" max="9235" width="11" style="146" customWidth="1"/>
    <col min="9236" max="9236" width="13.42578125" style="146" customWidth="1"/>
    <col min="9237" max="9237" width="12.42578125" style="146" customWidth="1"/>
    <col min="9238" max="9239" width="7.85546875" style="146" customWidth="1"/>
    <col min="9240" max="9240" width="12.140625" style="146" customWidth="1"/>
    <col min="9241" max="9241" width="20.85546875" style="146" customWidth="1"/>
    <col min="9242" max="9243" width="10" style="146" customWidth="1"/>
    <col min="9244" max="9244" width="11.28515625" style="146" bestFit="1" customWidth="1"/>
    <col min="9245" max="9245" width="10" style="146" customWidth="1"/>
    <col min="9246" max="9249" width="10.140625" style="146" bestFit="1" customWidth="1"/>
    <col min="9250" max="9468" width="9.140625" style="146"/>
    <col min="9469" max="9469" width="7.42578125" style="146" customWidth="1"/>
    <col min="9470" max="9470" width="41.7109375" style="146" customWidth="1"/>
    <col min="9471" max="9473" width="0" style="146" hidden="1" customWidth="1"/>
    <col min="9474" max="9474" width="12.7109375" style="146" customWidth="1"/>
    <col min="9475" max="9475" width="24.140625" style="146" customWidth="1"/>
    <col min="9476" max="9476" width="0" style="146" hidden="1" customWidth="1"/>
    <col min="9477" max="9477" width="7.85546875" style="146" customWidth="1"/>
    <col min="9478" max="9478" width="13.140625" style="146" customWidth="1"/>
    <col min="9479" max="9479" width="13" style="146" customWidth="1"/>
    <col min="9480" max="9480" width="10.5703125" style="146" customWidth="1"/>
    <col min="9481" max="9481" width="11.42578125" style="146" customWidth="1"/>
    <col min="9482" max="9482" width="12.85546875" style="146" bestFit="1" customWidth="1"/>
    <col min="9483" max="9483" width="0" style="146" hidden="1" customWidth="1"/>
    <col min="9484" max="9484" width="10" style="146" bestFit="1" customWidth="1"/>
    <col min="9485" max="9485" width="8.85546875" style="146" customWidth="1"/>
    <col min="9486" max="9486" width="8.5703125" style="146" customWidth="1"/>
    <col min="9487" max="9487" width="10.5703125" style="146" customWidth="1"/>
    <col min="9488" max="9488" width="9.42578125" style="146" customWidth="1"/>
    <col min="9489" max="9489" width="7.42578125" style="146" customWidth="1"/>
    <col min="9490" max="9490" width="7.5703125" style="146" customWidth="1"/>
    <col min="9491" max="9491" width="11" style="146" customWidth="1"/>
    <col min="9492" max="9492" width="13.42578125" style="146" customWidth="1"/>
    <col min="9493" max="9493" width="12.42578125" style="146" customWidth="1"/>
    <col min="9494" max="9495" width="7.85546875" style="146" customWidth="1"/>
    <col min="9496" max="9496" width="12.140625" style="146" customWidth="1"/>
    <col min="9497" max="9497" width="20.85546875" style="146" customWidth="1"/>
    <col min="9498" max="9499" width="10" style="146" customWidth="1"/>
    <col min="9500" max="9500" width="11.28515625" style="146" bestFit="1" customWidth="1"/>
    <col min="9501" max="9501" width="10" style="146" customWidth="1"/>
    <col min="9502" max="9505" width="10.140625" style="146" bestFit="1" customWidth="1"/>
    <col min="9506" max="9724" width="9.140625" style="146"/>
    <col min="9725" max="9725" width="7.42578125" style="146" customWidth="1"/>
    <col min="9726" max="9726" width="41.7109375" style="146" customWidth="1"/>
    <col min="9727" max="9729" width="0" style="146" hidden="1" customWidth="1"/>
    <col min="9730" max="9730" width="12.7109375" style="146" customWidth="1"/>
    <col min="9731" max="9731" width="24.140625" style="146" customWidth="1"/>
    <col min="9732" max="9732" width="0" style="146" hidden="1" customWidth="1"/>
    <col min="9733" max="9733" width="7.85546875" style="146" customWidth="1"/>
    <col min="9734" max="9734" width="13.140625" style="146" customWidth="1"/>
    <col min="9735" max="9735" width="13" style="146" customWidth="1"/>
    <col min="9736" max="9736" width="10.5703125" style="146" customWidth="1"/>
    <col min="9737" max="9737" width="11.42578125" style="146" customWidth="1"/>
    <col min="9738" max="9738" width="12.85546875" style="146" bestFit="1" customWidth="1"/>
    <col min="9739" max="9739" width="0" style="146" hidden="1" customWidth="1"/>
    <col min="9740" max="9740" width="10" style="146" bestFit="1" customWidth="1"/>
    <col min="9741" max="9741" width="8.85546875" style="146" customWidth="1"/>
    <col min="9742" max="9742" width="8.5703125" style="146" customWidth="1"/>
    <col min="9743" max="9743" width="10.5703125" style="146" customWidth="1"/>
    <col min="9744" max="9744" width="9.42578125" style="146" customWidth="1"/>
    <col min="9745" max="9745" width="7.42578125" style="146" customWidth="1"/>
    <col min="9746" max="9746" width="7.5703125" style="146" customWidth="1"/>
    <col min="9747" max="9747" width="11" style="146" customWidth="1"/>
    <col min="9748" max="9748" width="13.42578125" style="146" customWidth="1"/>
    <col min="9749" max="9749" width="12.42578125" style="146" customWidth="1"/>
    <col min="9750" max="9751" width="7.85546875" style="146" customWidth="1"/>
    <col min="9752" max="9752" width="12.140625" style="146" customWidth="1"/>
    <col min="9753" max="9753" width="20.85546875" style="146" customWidth="1"/>
    <col min="9754" max="9755" width="10" style="146" customWidth="1"/>
    <col min="9756" max="9756" width="11.28515625" style="146" bestFit="1" customWidth="1"/>
    <col min="9757" max="9757" width="10" style="146" customWidth="1"/>
    <col min="9758" max="9761" width="10.140625" style="146" bestFit="1" customWidth="1"/>
    <col min="9762" max="9980" width="9.140625" style="146"/>
    <col min="9981" max="9981" width="7.42578125" style="146" customWidth="1"/>
    <col min="9982" max="9982" width="41.7109375" style="146" customWidth="1"/>
    <col min="9983" max="9985" width="0" style="146" hidden="1" customWidth="1"/>
    <col min="9986" max="9986" width="12.7109375" style="146" customWidth="1"/>
    <col min="9987" max="9987" width="24.140625" style="146" customWidth="1"/>
    <col min="9988" max="9988" width="0" style="146" hidden="1" customWidth="1"/>
    <col min="9989" max="9989" width="7.85546875" style="146" customWidth="1"/>
    <col min="9990" max="9990" width="13.140625" style="146" customWidth="1"/>
    <col min="9991" max="9991" width="13" style="146" customWidth="1"/>
    <col min="9992" max="9992" width="10.5703125" style="146" customWidth="1"/>
    <col min="9993" max="9993" width="11.42578125" style="146" customWidth="1"/>
    <col min="9994" max="9994" width="12.85546875" style="146" bestFit="1" customWidth="1"/>
    <col min="9995" max="9995" width="0" style="146" hidden="1" customWidth="1"/>
    <col min="9996" max="9996" width="10" style="146" bestFit="1" customWidth="1"/>
    <col min="9997" max="9997" width="8.85546875" style="146" customWidth="1"/>
    <col min="9998" max="9998" width="8.5703125" style="146" customWidth="1"/>
    <col min="9999" max="9999" width="10.5703125" style="146" customWidth="1"/>
    <col min="10000" max="10000" width="9.42578125" style="146" customWidth="1"/>
    <col min="10001" max="10001" width="7.42578125" style="146" customWidth="1"/>
    <col min="10002" max="10002" width="7.5703125" style="146" customWidth="1"/>
    <col min="10003" max="10003" width="11" style="146" customWidth="1"/>
    <col min="10004" max="10004" width="13.42578125" style="146" customWidth="1"/>
    <col min="10005" max="10005" width="12.42578125" style="146" customWidth="1"/>
    <col min="10006" max="10007" width="7.85546875" style="146" customWidth="1"/>
    <col min="10008" max="10008" width="12.140625" style="146" customWidth="1"/>
    <col min="10009" max="10009" width="20.85546875" style="146" customWidth="1"/>
    <col min="10010" max="10011" width="10" style="146" customWidth="1"/>
    <col min="10012" max="10012" width="11.28515625" style="146" bestFit="1" customWidth="1"/>
    <col min="10013" max="10013" width="10" style="146" customWidth="1"/>
    <col min="10014" max="10017" width="10.140625" style="146" bestFit="1" customWidth="1"/>
    <col min="10018" max="10236" width="9.140625" style="146"/>
    <col min="10237" max="10237" width="7.42578125" style="146" customWidth="1"/>
    <col min="10238" max="10238" width="41.7109375" style="146" customWidth="1"/>
    <col min="10239" max="10241" width="0" style="146" hidden="1" customWidth="1"/>
    <col min="10242" max="10242" width="12.7109375" style="146" customWidth="1"/>
    <col min="10243" max="10243" width="24.140625" style="146" customWidth="1"/>
    <col min="10244" max="10244" width="0" style="146" hidden="1" customWidth="1"/>
    <col min="10245" max="10245" width="7.85546875" style="146" customWidth="1"/>
    <col min="10246" max="10246" width="13.140625" style="146" customWidth="1"/>
    <col min="10247" max="10247" width="13" style="146" customWidth="1"/>
    <col min="10248" max="10248" width="10.5703125" style="146" customWidth="1"/>
    <col min="10249" max="10249" width="11.42578125" style="146" customWidth="1"/>
    <col min="10250" max="10250" width="12.85546875" style="146" bestFit="1" customWidth="1"/>
    <col min="10251" max="10251" width="0" style="146" hidden="1" customWidth="1"/>
    <col min="10252" max="10252" width="10" style="146" bestFit="1" customWidth="1"/>
    <col min="10253" max="10253" width="8.85546875" style="146" customWidth="1"/>
    <col min="10254" max="10254" width="8.5703125" style="146" customWidth="1"/>
    <col min="10255" max="10255" width="10.5703125" style="146" customWidth="1"/>
    <col min="10256" max="10256" width="9.42578125" style="146" customWidth="1"/>
    <col min="10257" max="10257" width="7.42578125" style="146" customWidth="1"/>
    <col min="10258" max="10258" width="7.5703125" style="146" customWidth="1"/>
    <col min="10259" max="10259" width="11" style="146" customWidth="1"/>
    <col min="10260" max="10260" width="13.42578125" style="146" customWidth="1"/>
    <col min="10261" max="10261" width="12.42578125" style="146" customWidth="1"/>
    <col min="10262" max="10263" width="7.85546875" style="146" customWidth="1"/>
    <col min="10264" max="10264" width="12.140625" style="146" customWidth="1"/>
    <col min="10265" max="10265" width="20.85546875" style="146" customWidth="1"/>
    <col min="10266" max="10267" width="10" style="146" customWidth="1"/>
    <col min="10268" max="10268" width="11.28515625" style="146" bestFit="1" customWidth="1"/>
    <col min="10269" max="10269" width="10" style="146" customWidth="1"/>
    <col min="10270" max="10273" width="10.140625" style="146" bestFit="1" customWidth="1"/>
    <col min="10274" max="10492" width="9.140625" style="146"/>
    <col min="10493" max="10493" width="7.42578125" style="146" customWidth="1"/>
    <col min="10494" max="10494" width="41.7109375" style="146" customWidth="1"/>
    <col min="10495" max="10497" width="0" style="146" hidden="1" customWidth="1"/>
    <col min="10498" max="10498" width="12.7109375" style="146" customWidth="1"/>
    <col min="10499" max="10499" width="24.140625" style="146" customWidth="1"/>
    <col min="10500" max="10500" width="0" style="146" hidden="1" customWidth="1"/>
    <col min="10501" max="10501" width="7.85546875" style="146" customWidth="1"/>
    <col min="10502" max="10502" width="13.140625" style="146" customWidth="1"/>
    <col min="10503" max="10503" width="13" style="146" customWidth="1"/>
    <col min="10504" max="10504" width="10.5703125" style="146" customWidth="1"/>
    <col min="10505" max="10505" width="11.42578125" style="146" customWidth="1"/>
    <col min="10506" max="10506" width="12.85546875" style="146" bestFit="1" customWidth="1"/>
    <col min="10507" max="10507" width="0" style="146" hidden="1" customWidth="1"/>
    <col min="10508" max="10508" width="10" style="146" bestFit="1" customWidth="1"/>
    <col min="10509" max="10509" width="8.85546875" style="146" customWidth="1"/>
    <col min="10510" max="10510" width="8.5703125" style="146" customWidth="1"/>
    <col min="10511" max="10511" width="10.5703125" style="146" customWidth="1"/>
    <col min="10512" max="10512" width="9.42578125" style="146" customWidth="1"/>
    <col min="10513" max="10513" width="7.42578125" style="146" customWidth="1"/>
    <col min="10514" max="10514" width="7.5703125" style="146" customWidth="1"/>
    <col min="10515" max="10515" width="11" style="146" customWidth="1"/>
    <col min="10516" max="10516" width="13.42578125" style="146" customWidth="1"/>
    <col min="10517" max="10517" width="12.42578125" style="146" customWidth="1"/>
    <col min="10518" max="10519" width="7.85546875" style="146" customWidth="1"/>
    <col min="10520" max="10520" width="12.140625" style="146" customWidth="1"/>
    <col min="10521" max="10521" width="20.85546875" style="146" customWidth="1"/>
    <col min="10522" max="10523" width="10" style="146" customWidth="1"/>
    <col min="10524" max="10524" width="11.28515625" style="146" bestFit="1" customWidth="1"/>
    <col min="10525" max="10525" width="10" style="146" customWidth="1"/>
    <col min="10526" max="10529" width="10.140625" style="146" bestFit="1" customWidth="1"/>
    <col min="10530" max="10748" width="9.140625" style="146"/>
    <col min="10749" max="10749" width="7.42578125" style="146" customWidth="1"/>
    <col min="10750" max="10750" width="41.7109375" style="146" customWidth="1"/>
    <col min="10751" max="10753" width="0" style="146" hidden="1" customWidth="1"/>
    <col min="10754" max="10754" width="12.7109375" style="146" customWidth="1"/>
    <col min="10755" max="10755" width="24.140625" style="146" customWidth="1"/>
    <col min="10756" max="10756" width="0" style="146" hidden="1" customWidth="1"/>
    <col min="10757" max="10757" width="7.85546875" style="146" customWidth="1"/>
    <col min="10758" max="10758" width="13.140625" style="146" customWidth="1"/>
    <col min="10759" max="10759" width="13" style="146" customWidth="1"/>
    <col min="10760" max="10760" width="10.5703125" style="146" customWidth="1"/>
    <col min="10761" max="10761" width="11.42578125" style="146" customWidth="1"/>
    <col min="10762" max="10762" width="12.85546875" style="146" bestFit="1" customWidth="1"/>
    <col min="10763" max="10763" width="0" style="146" hidden="1" customWidth="1"/>
    <col min="10764" max="10764" width="10" style="146" bestFit="1" customWidth="1"/>
    <col min="10765" max="10765" width="8.85546875" style="146" customWidth="1"/>
    <col min="10766" max="10766" width="8.5703125" style="146" customWidth="1"/>
    <col min="10767" max="10767" width="10.5703125" style="146" customWidth="1"/>
    <col min="10768" max="10768" width="9.42578125" style="146" customWidth="1"/>
    <col min="10769" max="10769" width="7.42578125" style="146" customWidth="1"/>
    <col min="10770" max="10770" width="7.5703125" style="146" customWidth="1"/>
    <col min="10771" max="10771" width="11" style="146" customWidth="1"/>
    <col min="10772" max="10772" width="13.42578125" style="146" customWidth="1"/>
    <col min="10773" max="10773" width="12.42578125" style="146" customWidth="1"/>
    <col min="10774" max="10775" width="7.85546875" style="146" customWidth="1"/>
    <col min="10776" max="10776" width="12.140625" style="146" customWidth="1"/>
    <col min="10777" max="10777" width="20.85546875" style="146" customWidth="1"/>
    <col min="10778" max="10779" width="10" style="146" customWidth="1"/>
    <col min="10780" max="10780" width="11.28515625" style="146" bestFit="1" customWidth="1"/>
    <col min="10781" max="10781" width="10" style="146" customWidth="1"/>
    <col min="10782" max="10785" width="10.140625" style="146" bestFit="1" customWidth="1"/>
    <col min="10786" max="11004" width="9.140625" style="146"/>
    <col min="11005" max="11005" width="7.42578125" style="146" customWidth="1"/>
    <col min="11006" max="11006" width="41.7109375" style="146" customWidth="1"/>
    <col min="11007" max="11009" width="0" style="146" hidden="1" customWidth="1"/>
    <col min="11010" max="11010" width="12.7109375" style="146" customWidth="1"/>
    <col min="11011" max="11011" width="24.140625" style="146" customWidth="1"/>
    <col min="11012" max="11012" width="0" style="146" hidden="1" customWidth="1"/>
    <col min="11013" max="11013" width="7.85546875" style="146" customWidth="1"/>
    <col min="11014" max="11014" width="13.140625" style="146" customWidth="1"/>
    <col min="11015" max="11015" width="13" style="146" customWidth="1"/>
    <col min="11016" max="11016" width="10.5703125" style="146" customWidth="1"/>
    <col min="11017" max="11017" width="11.42578125" style="146" customWidth="1"/>
    <col min="11018" max="11018" width="12.85546875" style="146" bestFit="1" customWidth="1"/>
    <col min="11019" max="11019" width="0" style="146" hidden="1" customWidth="1"/>
    <col min="11020" max="11020" width="10" style="146" bestFit="1" customWidth="1"/>
    <col min="11021" max="11021" width="8.85546875" style="146" customWidth="1"/>
    <col min="11022" max="11022" width="8.5703125" style="146" customWidth="1"/>
    <col min="11023" max="11023" width="10.5703125" style="146" customWidth="1"/>
    <col min="11024" max="11024" width="9.42578125" style="146" customWidth="1"/>
    <col min="11025" max="11025" width="7.42578125" style="146" customWidth="1"/>
    <col min="11026" max="11026" width="7.5703125" style="146" customWidth="1"/>
    <col min="11027" max="11027" width="11" style="146" customWidth="1"/>
    <col min="11028" max="11028" width="13.42578125" style="146" customWidth="1"/>
    <col min="11029" max="11029" width="12.42578125" style="146" customWidth="1"/>
    <col min="11030" max="11031" width="7.85546875" style="146" customWidth="1"/>
    <col min="11032" max="11032" width="12.140625" style="146" customWidth="1"/>
    <col min="11033" max="11033" width="20.85546875" style="146" customWidth="1"/>
    <col min="11034" max="11035" width="10" style="146" customWidth="1"/>
    <col min="11036" max="11036" width="11.28515625" style="146" bestFit="1" customWidth="1"/>
    <col min="11037" max="11037" width="10" style="146" customWidth="1"/>
    <col min="11038" max="11041" width="10.140625" style="146" bestFit="1" customWidth="1"/>
    <col min="11042" max="11260" width="9.140625" style="146"/>
    <col min="11261" max="11261" width="7.42578125" style="146" customWidth="1"/>
    <col min="11262" max="11262" width="41.7109375" style="146" customWidth="1"/>
    <col min="11263" max="11265" width="0" style="146" hidden="1" customWidth="1"/>
    <col min="11266" max="11266" width="12.7109375" style="146" customWidth="1"/>
    <col min="11267" max="11267" width="24.140625" style="146" customWidth="1"/>
    <col min="11268" max="11268" width="0" style="146" hidden="1" customWidth="1"/>
    <col min="11269" max="11269" width="7.85546875" style="146" customWidth="1"/>
    <col min="11270" max="11270" width="13.140625" style="146" customWidth="1"/>
    <col min="11271" max="11271" width="13" style="146" customWidth="1"/>
    <col min="11272" max="11272" width="10.5703125" style="146" customWidth="1"/>
    <col min="11273" max="11273" width="11.42578125" style="146" customWidth="1"/>
    <col min="11274" max="11274" width="12.85546875" style="146" bestFit="1" customWidth="1"/>
    <col min="11275" max="11275" width="0" style="146" hidden="1" customWidth="1"/>
    <col min="11276" max="11276" width="10" style="146" bestFit="1" customWidth="1"/>
    <col min="11277" max="11277" width="8.85546875" style="146" customWidth="1"/>
    <col min="11278" max="11278" width="8.5703125" style="146" customWidth="1"/>
    <col min="11279" max="11279" width="10.5703125" style="146" customWidth="1"/>
    <col min="11280" max="11280" width="9.42578125" style="146" customWidth="1"/>
    <col min="11281" max="11281" width="7.42578125" style="146" customWidth="1"/>
    <col min="11282" max="11282" width="7.5703125" style="146" customWidth="1"/>
    <col min="11283" max="11283" width="11" style="146" customWidth="1"/>
    <col min="11284" max="11284" width="13.42578125" style="146" customWidth="1"/>
    <col min="11285" max="11285" width="12.42578125" style="146" customWidth="1"/>
    <col min="11286" max="11287" width="7.85546875" style="146" customWidth="1"/>
    <col min="11288" max="11288" width="12.140625" style="146" customWidth="1"/>
    <col min="11289" max="11289" width="20.85546875" style="146" customWidth="1"/>
    <col min="11290" max="11291" width="10" style="146" customWidth="1"/>
    <col min="11292" max="11292" width="11.28515625" style="146" bestFit="1" customWidth="1"/>
    <col min="11293" max="11293" width="10" style="146" customWidth="1"/>
    <col min="11294" max="11297" width="10.140625" style="146" bestFit="1" customWidth="1"/>
    <col min="11298" max="11516" width="9.140625" style="146"/>
    <col min="11517" max="11517" width="7.42578125" style="146" customWidth="1"/>
    <col min="11518" max="11518" width="41.7109375" style="146" customWidth="1"/>
    <col min="11519" max="11521" width="0" style="146" hidden="1" customWidth="1"/>
    <col min="11522" max="11522" width="12.7109375" style="146" customWidth="1"/>
    <col min="11523" max="11523" width="24.140625" style="146" customWidth="1"/>
    <col min="11524" max="11524" width="0" style="146" hidden="1" customWidth="1"/>
    <col min="11525" max="11525" width="7.85546875" style="146" customWidth="1"/>
    <col min="11526" max="11526" width="13.140625" style="146" customWidth="1"/>
    <col min="11527" max="11527" width="13" style="146" customWidth="1"/>
    <col min="11528" max="11528" width="10.5703125" style="146" customWidth="1"/>
    <col min="11529" max="11529" width="11.42578125" style="146" customWidth="1"/>
    <col min="11530" max="11530" width="12.85546875" style="146" bestFit="1" customWidth="1"/>
    <col min="11531" max="11531" width="0" style="146" hidden="1" customWidth="1"/>
    <col min="11532" max="11532" width="10" style="146" bestFit="1" customWidth="1"/>
    <col min="11533" max="11533" width="8.85546875" style="146" customWidth="1"/>
    <col min="11534" max="11534" width="8.5703125" style="146" customWidth="1"/>
    <col min="11535" max="11535" width="10.5703125" style="146" customWidth="1"/>
    <col min="11536" max="11536" width="9.42578125" style="146" customWidth="1"/>
    <col min="11537" max="11537" width="7.42578125" style="146" customWidth="1"/>
    <col min="11538" max="11538" width="7.5703125" style="146" customWidth="1"/>
    <col min="11539" max="11539" width="11" style="146" customWidth="1"/>
    <col min="11540" max="11540" width="13.42578125" style="146" customWidth="1"/>
    <col min="11541" max="11541" width="12.42578125" style="146" customWidth="1"/>
    <col min="11542" max="11543" width="7.85546875" style="146" customWidth="1"/>
    <col min="11544" max="11544" width="12.140625" style="146" customWidth="1"/>
    <col min="11545" max="11545" width="20.85546875" style="146" customWidth="1"/>
    <col min="11546" max="11547" width="10" style="146" customWidth="1"/>
    <col min="11548" max="11548" width="11.28515625" style="146" bestFit="1" customWidth="1"/>
    <col min="11549" max="11549" width="10" style="146" customWidth="1"/>
    <col min="11550" max="11553" width="10.140625" style="146" bestFit="1" customWidth="1"/>
    <col min="11554" max="11772" width="9.140625" style="146"/>
    <col min="11773" max="11773" width="7.42578125" style="146" customWidth="1"/>
    <col min="11774" max="11774" width="41.7109375" style="146" customWidth="1"/>
    <col min="11775" max="11777" width="0" style="146" hidden="1" customWidth="1"/>
    <col min="11778" max="11778" width="12.7109375" style="146" customWidth="1"/>
    <col min="11779" max="11779" width="24.140625" style="146" customWidth="1"/>
    <col min="11780" max="11780" width="0" style="146" hidden="1" customWidth="1"/>
    <col min="11781" max="11781" width="7.85546875" style="146" customWidth="1"/>
    <col min="11782" max="11782" width="13.140625" style="146" customWidth="1"/>
    <col min="11783" max="11783" width="13" style="146" customWidth="1"/>
    <col min="11784" max="11784" width="10.5703125" style="146" customWidth="1"/>
    <col min="11785" max="11785" width="11.42578125" style="146" customWidth="1"/>
    <col min="11786" max="11786" width="12.85546875" style="146" bestFit="1" customWidth="1"/>
    <col min="11787" max="11787" width="0" style="146" hidden="1" customWidth="1"/>
    <col min="11788" max="11788" width="10" style="146" bestFit="1" customWidth="1"/>
    <col min="11789" max="11789" width="8.85546875" style="146" customWidth="1"/>
    <col min="11790" max="11790" width="8.5703125" style="146" customWidth="1"/>
    <col min="11791" max="11791" width="10.5703125" style="146" customWidth="1"/>
    <col min="11792" max="11792" width="9.42578125" style="146" customWidth="1"/>
    <col min="11793" max="11793" width="7.42578125" style="146" customWidth="1"/>
    <col min="11794" max="11794" width="7.5703125" style="146" customWidth="1"/>
    <col min="11795" max="11795" width="11" style="146" customWidth="1"/>
    <col min="11796" max="11796" width="13.42578125" style="146" customWidth="1"/>
    <col min="11797" max="11797" width="12.42578125" style="146" customWidth="1"/>
    <col min="11798" max="11799" width="7.85546875" style="146" customWidth="1"/>
    <col min="11800" max="11800" width="12.140625" style="146" customWidth="1"/>
    <col min="11801" max="11801" width="20.85546875" style="146" customWidth="1"/>
    <col min="11802" max="11803" width="10" style="146" customWidth="1"/>
    <col min="11804" max="11804" width="11.28515625" style="146" bestFit="1" customWidth="1"/>
    <col min="11805" max="11805" width="10" style="146" customWidth="1"/>
    <col min="11806" max="11809" width="10.140625" style="146" bestFit="1" customWidth="1"/>
    <col min="11810" max="12028" width="9.140625" style="146"/>
    <col min="12029" max="12029" width="7.42578125" style="146" customWidth="1"/>
    <col min="12030" max="12030" width="41.7109375" style="146" customWidth="1"/>
    <col min="12031" max="12033" width="0" style="146" hidden="1" customWidth="1"/>
    <col min="12034" max="12034" width="12.7109375" style="146" customWidth="1"/>
    <col min="12035" max="12035" width="24.140625" style="146" customWidth="1"/>
    <col min="12036" max="12036" width="0" style="146" hidden="1" customWidth="1"/>
    <col min="12037" max="12037" width="7.85546875" style="146" customWidth="1"/>
    <col min="12038" max="12038" width="13.140625" style="146" customWidth="1"/>
    <col min="12039" max="12039" width="13" style="146" customWidth="1"/>
    <col min="12040" max="12040" width="10.5703125" style="146" customWidth="1"/>
    <col min="12041" max="12041" width="11.42578125" style="146" customWidth="1"/>
    <col min="12042" max="12042" width="12.85546875" style="146" bestFit="1" customWidth="1"/>
    <col min="12043" max="12043" width="0" style="146" hidden="1" customWidth="1"/>
    <col min="12044" max="12044" width="10" style="146" bestFit="1" customWidth="1"/>
    <col min="12045" max="12045" width="8.85546875" style="146" customWidth="1"/>
    <col min="12046" max="12046" width="8.5703125" style="146" customWidth="1"/>
    <col min="12047" max="12047" width="10.5703125" style="146" customWidth="1"/>
    <col min="12048" max="12048" width="9.42578125" style="146" customWidth="1"/>
    <col min="12049" max="12049" width="7.42578125" style="146" customWidth="1"/>
    <col min="12050" max="12050" width="7.5703125" style="146" customWidth="1"/>
    <col min="12051" max="12051" width="11" style="146" customWidth="1"/>
    <col min="12052" max="12052" width="13.42578125" style="146" customWidth="1"/>
    <col min="12053" max="12053" width="12.42578125" style="146" customWidth="1"/>
    <col min="12054" max="12055" width="7.85546875" style="146" customWidth="1"/>
    <col min="12056" max="12056" width="12.140625" style="146" customWidth="1"/>
    <col min="12057" max="12057" width="20.85546875" style="146" customWidth="1"/>
    <col min="12058" max="12059" width="10" style="146" customWidth="1"/>
    <col min="12060" max="12060" width="11.28515625" style="146" bestFit="1" customWidth="1"/>
    <col min="12061" max="12061" width="10" style="146" customWidth="1"/>
    <col min="12062" max="12065" width="10.140625" style="146" bestFit="1" customWidth="1"/>
    <col min="12066" max="12284" width="9.140625" style="146"/>
    <col min="12285" max="12285" width="7.42578125" style="146" customWidth="1"/>
    <col min="12286" max="12286" width="41.7109375" style="146" customWidth="1"/>
    <col min="12287" max="12289" width="0" style="146" hidden="1" customWidth="1"/>
    <col min="12290" max="12290" width="12.7109375" style="146" customWidth="1"/>
    <col min="12291" max="12291" width="24.140625" style="146" customWidth="1"/>
    <col min="12292" max="12292" width="0" style="146" hidden="1" customWidth="1"/>
    <col min="12293" max="12293" width="7.85546875" style="146" customWidth="1"/>
    <col min="12294" max="12294" width="13.140625" style="146" customWidth="1"/>
    <col min="12295" max="12295" width="13" style="146" customWidth="1"/>
    <col min="12296" max="12296" width="10.5703125" style="146" customWidth="1"/>
    <col min="12297" max="12297" width="11.42578125" style="146" customWidth="1"/>
    <col min="12298" max="12298" width="12.85546875" style="146" bestFit="1" customWidth="1"/>
    <col min="12299" max="12299" width="0" style="146" hidden="1" customWidth="1"/>
    <col min="12300" max="12300" width="10" style="146" bestFit="1" customWidth="1"/>
    <col min="12301" max="12301" width="8.85546875" style="146" customWidth="1"/>
    <col min="12302" max="12302" width="8.5703125" style="146" customWidth="1"/>
    <col min="12303" max="12303" width="10.5703125" style="146" customWidth="1"/>
    <col min="12304" max="12304" width="9.42578125" style="146" customWidth="1"/>
    <col min="12305" max="12305" width="7.42578125" style="146" customWidth="1"/>
    <col min="12306" max="12306" width="7.5703125" style="146" customWidth="1"/>
    <col min="12307" max="12307" width="11" style="146" customWidth="1"/>
    <col min="12308" max="12308" width="13.42578125" style="146" customWidth="1"/>
    <col min="12309" max="12309" width="12.42578125" style="146" customWidth="1"/>
    <col min="12310" max="12311" width="7.85546875" style="146" customWidth="1"/>
    <col min="12312" max="12312" width="12.140625" style="146" customWidth="1"/>
    <col min="12313" max="12313" width="20.85546875" style="146" customWidth="1"/>
    <col min="12314" max="12315" width="10" style="146" customWidth="1"/>
    <col min="12316" max="12316" width="11.28515625" style="146" bestFit="1" customWidth="1"/>
    <col min="12317" max="12317" width="10" style="146" customWidth="1"/>
    <col min="12318" max="12321" width="10.140625" style="146" bestFit="1" customWidth="1"/>
    <col min="12322" max="12540" width="9.140625" style="146"/>
    <col min="12541" max="12541" width="7.42578125" style="146" customWidth="1"/>
    <col min="12542" max="12542" width="41.7109375" style="146" customWidth="1"/>
    <col min="12543" max="12545" width="0" style="146" hidden="1" customWidth="1"/>
    <col min="12546" max="12546" width="12.7109375" style="146" customWidth="1"/>
    <col min="12547" max="12547" width="24.140625" style="146" customWidth="1"/>
    <col min="12548" max="12548" width="0" style="146" hidden="1" customWidth="1"/>
    <col min="12549" max="12549" width="7.85546875" style="146" customWidth="1"/>
    <col min="12550" max="12550" width="13.140625" style="146" customWidth="1"/>
    <col min="12551" max="12551" width="13" style="146" customWidth="1"/>
    <col min="12552" max="12552" width="10.5703125" style="146" customWidth="1"/>
    <col min="12553" max="12553" width="11.42578125" style="146" customWidth="1"/>
    <col min="12554" max="12554" width="12.85546875" style="146" bestFit="1" customWidth="1"/>
    <col min="12555" max="12555" width="0" style="146" hidden="1" customWidth="1"/>
    <col min="12556" max="12556" width="10" style="146" bestFit="1" customWidth="1"/>
    <col min="12557" max="12557" width="8.85546875" style="146" customWidth="1"/>
    <col min="12558" max="12558" width="8.5703125" style="146" customWidth="1"/>
    <col min="12559" max="12559" width="10.5703125" style="146" customWidth="1"/>
    <col min="12560" max="12560" width="9.42578125" style="146" customWidth="1"/>
    <col min="12561" max="12561" width="7.42578125" style="146" customWidth="1"/>
    <col min="12562" max="12562" width="7.5703125" style="146" customWidth="1"/>
    <col min="12563" max="12563" width="11" style="146" customWidth="1"/>
    <col min="12564" max="12564" width="13.42578125" style="146" customWidth="1"/>
    <col min="12565" max="12565" width="12.42578125" style="146" customWidth="1"/>
    <col min="12566" max="12567" width="7.85546875" style="146" customWidth="1"/>
    <col min="12568" max="12568" width="12.140625" style="146" customWidth="1"/>
    <col min="12569" max="12569" width="20.85546875" style="146" customWidth="1"/>
    <col min="12570" max="12571" width="10" style="146" customWidth="1"/>
    <col min="12572" max="12572" width="11.28515625" style="146" bestFit="1" customWidth="1"/>
    <col min="12573" max="12573" width="10" style="146" customWidth="1"/>
    <col min="12574" max="12577" width="10.140625" style="146" bestFit="1" customWidth="1"/>
    <col min="12578" max="12796" width="9.140625" style="146"/>
    <col min="12797" max="12797" width="7.42578125" style="146" customWidth="1"/>
    <col min="12798" max="12798" width="41.7109375" style="146" customWidth="1"/>
    <col min="12799" max="12801" width="0" style="146" hidden="1" customWidth="1"/>
    <col min="12802" max="12802" width="12.7109375" style="146" customWidth="1"/>
    <col min="12803" max="12803" width="24.140625" style="146" customWidth="1"/>
    <col min="12804" max="12804" width="0" style="146" hidden="1" customWidth="1"/>
    <col min="12805" max="12805" width="7.85546875" style="146" customWidth="1"/>
    <col min="12806" max="12806" width="13.140625" style="146" customWidth="1"/>
    <col min="12807" max="12807" width="13" style="146" customWidth="1"/>
    <col min="12808" max="12808" width="10.5703125" style="146" customWidth="1"/>
    <col min="12809" max="12809" width="11.42578125" style="146" customWidth="1"/>
    <col min="12810" max="12810" width="12.85546875" style="146" bestFit="1" customWidth="1"/>
    <col min="12811" max="12811" width="0" style="146" hidden="1" customWidth="1"/>
    <col min="12812" max="12812" width="10" style="146" bestFit="1" customWidth="1"/>
    <col min="12813" max="12813" width="8.85546875" style="146" customWidth="1"/>
    <col min="12814" max="12814" width="8.5703125" style="146" customWidth="1"/>
    <col min="12815" max="12815" width="10.5703125" style="146" customWidth="1"/>
    <col min="12816" max="12816" width="9.42578125" style="146" customWidth="1"/>
    <col min="12817" max="12817" width="7.42578125" style="146" customWidth="1"/>
    <col min="12818" max="12818" width="7.5703125" style="146" customWidth="1"/>
    <col min="12819" max="12819" width="11" style="146" customWidth="1"/>
    <col min="12820" max="12820" width="13.42578125" style="146" customWidth="1"/>
    <col min="12821" max="12821" width="12.42578125" style="146" customWidth="1"/>
    <col min="12822" max="12823" width="7.85546875" style="146" customWidth="1"/>
    <col min="12824" max="12824" width="12.140625" style="146" customWidth="1"/>
    <col min="12825" max="12825" width="20.85546875" style="146" customWidth="1"/>
    <col min="12826" max="12827" width="10" style="146" customWidth="1"/>
    <col min="12828" max="12828" width="11.28515625" style="146" bestFit="1" customWidth="1"/>
    <col min="12829" max="12829" width="10" style="146" customWidth="1"/>
    <col min="12830" max="12833" width="10.140625" style="146" bestFit="1" customWidth="1"/>
    <col min="12834" max="13052" width="9.140625" style="146"/>
    <col min="13053" max="13053" width="7.42578125" style="146" customWidth="1"/>
    <col min="13054" max="13054" width="41.7109375" style="146" customWidth="1"/>
    <col min="13055" max="13057" width="0" style="146" hidden="1" customWidth="1"/>
    <col min="13058" max="13058" width="12.7109375" style="146" customWidth="1"/>
    <col min="13059" max="13059" width="24.140625" style="146" customWidth="1"/>
    <col min="13060" max="13060" width="0" style="146" hidden="1" customWidth="1"/>
    <col min="13061" max="13061" width="7.85546875" style="146" customWidth="1"/>
    <col min="13062" max="13062" width="13.140625" style="146" customWidth="1"/>
    <col min="13063" max="13063" width="13" style="146" customWidth="1"/>
    <col min="13064" max="13064" width="10.5703125" style="146" customWidth="1"/>
    <col min="13065" max="13065" width="11.42578125" style="146" customWidth="1"/>
    <col min="13066" max="13066" width="12.85546875" style="146" bestFit="1" customWidth="1"/>
    <col min="13067" max="13067" width="0" style="146" hidden="1" customWidth="1"/>
    <col min="13068" max="13068" width="10" style="146" bestFit="1" customWidth="1"/>
    <col min="13069" max="13069" width="8.85546875" style="146" customWidth="1"/>
    <col min="13070" max="13070" width="8.5703125" style="146" customWidth="1"/>
    <col min="13071" max="13071" width="10.5703125" style="146" customWidth="1"/>
    <col min="13072" max="13072" width="9.42578125" style="146" customWidth="1"/>
    <col min="13073" max="13073" width="7.42578125" style="146" customWidth="1"/>
    <col min="13074" max="13074" width="7.5703125" style="146" customWidth="1"/>
    <col min="13075" max="13075" width="11" style="146" customWidth="1"/>
    <col min="13076" max="13076" width="13.42578125" style="146" customWidth="1"/>
    <col min="13077" max="13077" width="12.42578125" style="146" customWidth="1"/>
    <col min="13078" max="13079" width="7.85546875" style="146" customWidth="1"/>
    <col min="13080" max="13080" width="12.140625" style="146" customWidth="1"/>
    <col min="13081" max="13081" width="20.85546875" style="146" customWidth="1"/>
    <col min="13082" max="13083" width="10" style="146" customWidth="1"/>
    <col min="13084" max="13084" width="11.28515625" style="146" bestFit="1" customWidth="1"/>
    <col min="13085" max="13085" width="10" style="146" customWidth="1"/>
    <col min="13086" max="13089" width="10.140625" style="146" bestFit="1" customWidth="1"/>
    <col min="13090" max="13308" width="9.140625" style="146"/>
    <col min="13309" max="13309" width="7.42578125" style="146" customWidth="1"/>
    <col min="13310" max="13310" width="41.7109375" style="146" customWidth="1"/>
    <col min="13311" max="13313" width="0" style="146" hidden="1" customWidth="1"/>
    <col min="13314" max="13314" width="12.7109375" style="146" customWidth="1"/>
    <col min="13315" max="13315" width="24.140625" style="146" customWidth="1"/>
    <col min="13316" max="13316" width="0" style="146" hidden="1" customWidth="1"/>
    <col min="13317" max="13317" width="7.85546875" style="146" customWidth="1"/>
    <col min="13318" max="13318" width="13.140625" style="146" customWidth="1"/>
    <col min="13319" max="13319" width="13" style="146" customWidth="1"/>
    <col min="13320" max="13320" width="10.5703125" style="146" customWidth="1"/>
    <col min="13321" max="13321" width="11.42578125" style="146" customWidth="1"/>
    <col min="13322" max="13322" width="12.85546875" style="146" bestFit="1" customWidth="1"/>
    <col min="13323" max="13323" width="0" style="146" hidden="1" customWidth="1"/>
    <col min="13324" max="13324" width="10" style="146" bestFit="1" customWidth="1"/>
    <col min="13325" max="13325" width="8.85546875" style="146" customWidth="1"/>
    <col min="13326" max="13326" width="8.5703125" style="146" customWidth="1"/>
    <col min="13327" max="13327" width="10.5703125" style="146" customWidth="1"/>
    <col min="13328" max="13328" width="9.42578125" style="146" customWidth="1"/>
    <col min="13329" max="13329" width="7.42578125" style="146" customWidth="1"/>
    <col min="13330" max="13330" width="7.5703125" style="146" customWidth="1"/>
    <col min="13331" max="13331" width="11" style="146" customWidth="1"/>
    <col min="13332" max="13332" width="13.42578125" style="146" customWidth="1"/>
    <col min="13333" max="13333" width="12.42578125" style="146" customWidth="1"/>
    <col min="13334" max="13335" width="7.85546875" style="146" customWidth="1"/>
    <col min="13336" max="13336" width="12.140625" style="146" customWidth="1"/>
    <col min="13337" max="13337" width="20.85546875" style="146" customWidth="1"/>
    <col min="13338" max="13339" width="10" style="146" customWidth="1"/>
    <col min="13340" max="13340" width="11.28515625" style="146" bestFit="1" customWidth="1"/>
    <col min="13341" max="13341" width="10" style="146" customWidth="1"/>
    <col min="13342" max="13345" width="10.140625" style="146" bestFit="1" customWidth="1"/>
    <col min="13346" max="13564" width="9.140625" style="146"/>
    <col min="13565" max="13565" width="7.42578125" style="146" customWidth="1"/>
    <col min="13566" max="13566" width="41.7109375" style="146" customWidth="1"/>
    <col min="13567" max="13569" width="0" style="146" hidden="1" customWidth="1"/>
    <col min="13570" max="13570" width="12.7109375" style="146" customWidth="1"/>
    <col min="13571" max="13571" width="24.140625" style="146" customWidth="1"/>
    <col min="13572" max="13572" width="0" style="146" hidden="1" customWidth="1"/>
    <col min="13573" max="13573" width="7.85546875" style="146" customWidth="1"/>
    <col min="13574" max="13574" width="13.140625" style="146" customWidth="1"/>
    <col min="13575" max="13575" width="13" style="146" customWidth="1"/>
    <col min="13576" max="13576" width="10.5703125" style="146" customWidth="1"/>
    <col min="13577" max="13577" width="11.42578125" style="146" customWidth="1"/>
    <col min="13578" max="13578" width="12.85546875" style="146" bestFit="1" customWidth="1"/>
    <col min="13579" max="13579" width="0" style="146" hidden="1" customWidth="1"/>
    <col min="13580" max="13580" width="10" style="146" bestFit="1" customWidth="1"/>
    <col min="13581" max="13581" width="8.85546875" style="146" customWidth="1"/>
    <col min="13582" max="13582" width="8.5703125" style="146" customWidth="1"/>
    <col min="13583" max="13583" width="10.5703125" style="146" customWidth="1"/>
    <col min="13584" max="13584" width="9.42578125" style="146" customWidth="1"/>
    <col min="13585" max="13585" width="7.42578125" style="146" customWidth="1"/>
    <col min="13586" max="13586" width="7.5703125" style="146" customWidth="1"/>
    <col min="13587" max="13587" width="11" style="146" customWidth="1"/>
    <col min="13588" max="13588" width="13.42578125" style="146" customWidth="1"/>
    <col min="13589" max="13589" width="12.42578125" style="146" customWidth="1"/>
    <col min="13590" max="13591" width="7.85546875" style="146" customWidth="1"/>
    <col min="13592" max="13592" width="12.140625" style="146" customWidth="1"/>
    <col min="13593" max="13593" width="20.85546875" style="146" customWidth="1"/>
    <col min="13594" max="13595" width="10" style="146" customWidth="1"/>
    <col min="13596" max="13596" width="11.28515625" style="146" bestFit="1" customWidth="1"/>
    <col min="13597" max="13597" width="10" style="146" customWidth="1"/>
    <col min="13598" max="13601" width="10.140625" style="146" bestFit="1" customWidth="1"/>
    <col min="13602" max="13820" width="9.140625" style="146"/>
    <col min="13821" max="13821" width="7.42578125" style="146" customWidth="1"/>
    <col min="13822" max="13822" width="41.7109375" style="146" customWidth="1"/>
    <col min="13823" max="13825" width="0" style="146" hidden="1" customWidth="1"/>
    <col min="13826" max="13826" width="12.7109375" style="146" customWidth="1"/>
    <col min="13827" max="13827" width="24.140625" style="146" customWidth="1"/>
    <col min="13828" max="13828" width="0" style="146" hidden="1" customWidth="1"/>
    <col min="13829" max="13829" width="7.85546875" style="146" customWidth="1"/>
    <col min="13830" max="13830" width="13.140625" style="146" customWidth="1"/>
    <col min="13831" max="13831" width="13" style="146" customWidth="1"/>
    <col min="13832" max="13832" width="10.5703125" style="146" customWidth="1"/>
    <col min="13833" max="13833" width="11.42578125" style="146" customWidth="1"/>
    <col min="13834" max="13834" width="12.85546875" style="146" bestFit="1" customWidth="1"/>
    <col min="13835" max="13835" width="0" style="146" hidden="1" customWidth="1"/>
    <col min="13836" max="13836" width="10" style="146" bestFit="1" customWidth="1"/>
    <col min="13837" max="13837" width="8.85546875" style="146" customWidth="1"/>
    <col min="13838" max="13838" width="8.5703125" style="146" customWidth="1"/>
    <col min="13839" max="13839" width="10.5703125" style="146" customWidth="1"/>
    <col min="13840" max="13840" width="9.42578125" style="146" customWidth="1"/>
    <col min="13841" max="13841" width="7.42578125" style="146" customWidth="1"/>
    <col min="13842" max="13842" width="7.5703125" style="146" customWidth="1"/>
    <col min="13843" max="13843" width="11" style="146" customWidth="1"/>
    <col min="13844" max="13844" width="13.42578125" style="146" customWidth="1"/>
    <col min="13845" max="13845" width="12.42578125" style="146" customWidth="1"/>
    <col min="13846" max="13847" width="7.85546875" style="146" customWidth="1"/>
    <col min="13848" max="13848" width="12.140625" style="146" customWidth="1"/>
    <col min="13849" max="13849" width="20.85546875" style="146" customWidth="1"/>
    <col min="13850" max="13851" width="10" style="146" customWidth="1"/>
    <col min="13852" max="13852" width="11.28515625" style="146" bestFit="1" customWidth="1"/>
    <col min="13853" max="13853" width="10" style="146" customWidth="1"/>
    <col min="13854" max="13857" width="10.140625" style="146" bestFit="1" customWidth="1"/>
    <col min="13858" max="14076" width="9.140625" style="146"/>
    <col min="14077" max="14077" width="7.42578125" style="146" customWidth="1"/>
    <col min="14078" max="14078" width="41.7109375" style="146" customWidth="1"/>
    <col min="14079" max="14081" width="0" style="146" hidden="1" customWidth="1"/>
    <col min="14082" max="14082" width="12.7109375" style="146" customWidth="1"/>
    <col min="14083" max="14083" width="24.140625" style="146" customWidth="1"/>
    <col min="14084" max="14084" width="0" style="146" hidden="1" customWidth="1"/>
    <col min="14085" max="14085" width="7.85546875" style="146" customWidth="1"/>
    <col min="14086" max="14086" width="13.140625" style="146" customWidth="1"/>
    <col min="14087" max="14087" width="13" style="146" customWidth="1"/>
    <col min="14088" max="14088" width="10.5703125" style="146" customWidth="1"/>
    <col min="14089" max="14089" width="11.42578125" style="146" customWidth="1"/>
    <col min="14090" max="14090" width="12.85546875" style="146" bestFit="1" customWidth="1"/>
    <col min="14091" max="14091" width="0" style="146" hidden="1" customWidth="1"/>
    <col min="14092" max="14092" width="10" style="146" bestFit="1" customWidth="1"/>
    <col min="14093" max="14093" width="8.85546875" style="146" customWidth="1"/>
    <col min="14094" max="14094" width="8.5703125" style="146" customWidth="1"/>
    <col min="14095" max="14095" width="10.5703125" style="146" customWidth="1"/>
    <col min="14096" max="14096" width="9.42578125" style="146" customWidth="1"/>
    <col min="14097" max="14097" width="7.42578125" style="146" customWidth="1"/>
    <col min="14098" max="14098" width="7.5703125" style="146" customWidth="1"/>
    <col min="14099" max="14099" width="11" style="146" customWidth="1"/>
    <col min="14100" max="14100" width="13.42578125" style="146" customWidth="1"/>
    <col min="14101" max="14101" width="12.42578125" style="146" customWidth="1"/>
    <col min="14102" max="14103" width="7.85546875" style="146" customWidth="1"/>
    <col min="14104" max="14104" width="12.140625" style="146" customWidth="1"/>
    <col min="14105" max="14105" width="20.85546875" style="146" customWidth="1"/>
    <col min="14106" max="14107" width="10" style="146" customWidth="1"/>
    <col min="14108" max="14108" width="11.28515625" style="146" bestFit="1" customWidth="1"/>
    <col min="14109" max="14109" width="10" style="146" customWidth="1"/>
    <col min="14110" max="14113" width="10.140625" style="146" bestFit="1" customWidth="1"/>
    <col min="14114" max="14332" width="9.140625" style="146"/>
    <col min="14333" max="14333" width="7.42578125" style="146" customWidth="1"/>
    <col min="14334" max="14334" width="41.7109375" style="146" customWidth="1"/>
    <col min="14335" max="14337" width="0" style="146" hidden="1" customWidth="1"/>
    <col min="14338" max="14338" width="12.7109375" style="146" customWidth="1"/>
    <col min="14339" max="14339" width="24.140625" style="146" customWidth="1"/>
    <col min="14340" max="14340" width="0" style="146" hidden="1" customWidth="1"/>
    <col min="14341" max="14341" width="7.85546875" style="146" customWidth="1"/>
    <col min="14342" max="14342" width="13.140625" style="146" customWidth="1"/>
    <col min="14343" max="14343" width="13" style="146" customWidth="1"/>
    <col min="14344" max="14344" width="10.5703125" style="146" customWidth="1"/>
    <col min="14345" max="14345" width="11.42578125" style="146" customWidth="1"/>
    <col min="14346" max="14346" width="12.85546875" style="146" bestFit="1" customWidth="1"/>
    <col min="14347" max="14347" width="0" style="146" hidden="1" customWidth="1"/>
    <col min="14348" max="14348" width="10" style="146" bestFit="1" customWidth="1"/>
    <col min="14349" max="14349" width="8.85546875" style="146" customWidth="1"/>
    <col min="14350" max="14350" width="8.5703125" style="146" customWidth="1"/>
    <col min="14351" max="14351" width="10.5703125" style="146" customWidth="1"/>
    <col min="14352" max="14352" width="9.42578125" style="146" customWidth="1"/>
    <col min="14353" max="14353" width="7.42578125" style="146" customWidth="1"/>
    <col min="14354" max="14354" width="7.5703125" style="146" customWidth="1"/>
    <col min="14355" max="14355" width="11" style="146" customWidth="1"/>
    <col min="14356" max="14356" width="13.42578125" style="146" customWidth="1"/>
    <col min="14357" max="14357" width="12.42578125" style="146" customWidth="1"/>
    <col min="14358" max="14359" width="7.85546875" style="146" customWidth="1"/>
    <col min="14360" max="14360" width="12.140625" style="146" customWidth="1"/>
    <col min="14361" max="14361" width="20.85546875" style="146" customWidth="1"/>
    <col min="14362" max="14363" width="10" style="146" customWidth="1"/>
    <col min="14364" max="14364" width="11.28515625" style="146" bestFit="1" customWidth="1"/>
    <col min="14365" max="14365" width="10" style="146" customWidth="1"/>
    <col min="14366" max="14369" width="10.140625" style="146" bestFit="1" customWidth="1"/>
    <col min="14370" max="14588" width="9.140625" style="146"/>
    <col min="14589" max="14589" width="7.42578125" style="146" customWidth="1"/>
    <col min="14590" max="14590" width="41.7109375" style="146" customWidth="1"/>
    <col min="14591" max="14593" width="0" style="146" hidden="1" customWidth="1"/>
    <col min="14594" max="14594" width="12.7109375" style="146" customWidth="1"/>
    <col min="14595" max="14595" width="24.140625" style="146" customWidth="1"/>
    <col min="14596" max="14596" width="0" style="146" hidden="1" customWidth="1"/>
    <col min="14597" max="14597" width="7.85546875" style="146" customWidth="1"/>
    <col min="14598" max="14598" width="13.140625" style="146" customWidth="1"/>
    <col min="14599" max="14599" width="13" style="146" customWidth="1"/>
    <col min="14600" max="14600" width="10.5703125" style="146" customWidth="1"/>
    <col min="14601" max="14601" width="11.42578125" style="146" customWidth="1"/>
    <col min="14602" max="14602" width="12.85546875" style="146" bestFit="1" customWidth="1"/>
    <col min="14603" max="14603" width="0" style="146" hidden="1" customWidth="1"/>
    <col min="14604" max="14604" width="10" style="146" bestFit="1" customWidth="1"/>
    <col min="14605" max="14605" width="8.85546875" style="146" customWidth="1"/>
    <col min="14606" max="14606" width="8.5703125" style="146" customWidth="1"/>
    <col min="14607" max="14607" width="10.5703125" style="146" customWidth="1"/>
    <col min="14608" max="14608" width="9.42578125" style="146" customWidth="1"/>
    <col min="14609" max="14609" width="7.42578125" style="146" customWidth="1"/>
    <col min="14610" max="14610" width="7.5703125" style="146" customWidth="1"/>
    <col min="14611" max="14611" width="11" style="146" customWidth="1"/>
    <col min="14612" max="14612" width="13.42578125" style="146" customWidth="1"/>
    <col min="14613" max="14613" width="12.42578125" style="146" customWidth="1"/>
    <col min="14614" max="14615" width="7.85546875" style="146" customWidth="1"/>
    <col min="14616" max="14616" width="12.140625" style="146" customWidth="1"/>
    <col min="14617" max="14617" width="20.85546875" style="146" customWidth="1"/>
    <col min="14618" max="14619" width="10" style="146" customWidth="1"/>
    <col min="14620" max="14620" width="11.28515625" style="146" bestFit="1" customWidth="1"/>
    <col min="14621" max="14621" width="10" style="146" customWidth="1"/>
    <col min="14622" max="14625" width="10.140625" style="146" bestFit="1" customWidth="1"/>
    <col min="14626" max="14844" width="9.140625" style="146"/>
    <col min="14845" max="14845" width="7.42578125" style="146" customWidth="1"/>
    <col min="14846" max="14846" width="41.7109375" style="146" customWidth="1"/>
    <col min="14847" max="14849" width="0" style="146" hidden="1" customWidth="1"/>
    <col min="14850" max="14850" width="12.7109375" style="146" customWidth="1"/>
    <col min="14851" max="14851" width="24.140625" style="146" customWidth="1"/>
    <col min="14852" max="14852" width="0" style="146" hidden="1" customWidth="1"/>
    <col min="14853" max="14853" width="7.85546875" style="146" customWidth="1"/>
    <col min="14854" max="14854" width="13.140625" style="146" customWidth="1"/>
    <col min="14855" max="14855" width="13" style="146" customWidth="1"/>
    <col min="14856" max="14856" width="10.5703125" style="146" customWidth="1"/>
    <col min="14857" max="14857" width="11.42578125" style="146" customWidth="1"/>
    <col min="14858" max="14858" width="12.85546875" style="146" bestFit="1" customWidth="1"/>
    <col min="14859" max="14859" width="0" style="146" hidden="1" customWidth="1"/>
    <col min="14860" max="14860" width="10" style="146" bestFit="1" customWidth="1"/>
    <col min="14861" max="14861" width="8.85546875" style="146" customWidth="1"/>
    <col min="14862" max="14862" width="8.5703125" style="146" customWidth="1"/>
    <col min="14863" max="14863" width="10.5703125" style="146" customWidth="1"/>
    <col min="14864" max="14864" width="9.42578125" style="146" customWidth="1"/>
    <col min="14865" max="14865" width="7.42578125" style="146" customWidth="1"/>
    <col min="14866" max="14866" width="7.5703125" style="146" customWidth="1"/>
    <col min="14867" max="14867" width="11" style="146" customWidth="1"/>
    <col min="14868" max="14868" width="13.42578125" style="146" customWidth="1"/>
    <col min="14869" max="14869" width="12.42578125" style="146" customWidth="1"/>
    <col min="14870" max="14871" width="7.85546875" style="146" customWidth="1"/>
    <col min="14872" max="14872" width="12.140625" style="146" customWidth="1"/>
    <col min="14873" max="14873" width="20.85546875" style="146" customWidth="1"/>
    <col min="14874" max="14875" width="10" style="146" customWidth="1"/>
    <col min="14876" max="14876" width="11.28515625" style="146" bestFit="1" customWidth="1"/>
    <col min="14877" max="14877" width="10" style="146" customWidth="1"/>
    <col min="14878" max="14881" width="10.140625" style="146" bestFit="1" customWidth="1"/>
    <col min="14882" max="15100" width="9.140625" style="146"/>
    <col min="15101" max="15101" width="7.42578125" style="146" customWidth="1"/>
    <col min="15102" max="15102" width="41.7109375" style="146" customWidth="1"/>
    <col min="15103" max="15105" width="0" style="146" hidden="1" customWidth="1"/>
    <col min="15106" max="15106" width="12.7109375" style="146" customWidth="1"/>
    <col min="15107" max="15107" width="24.140625" style="146" customWidth="1"/>
    <col min="15108" max="15108" width="0" style="146" hidden="1" customWidth="1"/>
    <col min="15109" max="15109" width="7.85546875" style="146" customWidth="1"/>
    <col min="15110" max="15110" width="13.140625" style="146" customWidth="1"/>
    <col min="15111" max="15111" width="13" style="146" customWidth="1"/>
    <col min="15112" max="15112" width="10.5703125" style="146" customWidth="1"/>
    <col min="15113" max="15113" width="11.42578125" style="146" customWidth="1"/>
    <col min="15114" max="15114" width="12.85546875" style="146" bestFit="1" customWidth="1"/>
    <col min="15115" max="15115" width="0" style="146" hidden="1" customWidth="1"/>
    <col min="15116" max="15116" width="10" style="146" bestFit="1" customWidth="1"/>
    <col min="15117" max="15117" width="8.85546875" style="146" customWidth="1"/>
    <col min="15118" max="15118" width="8.5703125" style="146" customWidth="1"/>
    <col min="15119" max="15119" width="10.5703125" style="146" customWidth="1"/>
    <col min="15120" max="15120" width="9.42578125" style="146" customWidth="1"/>
    <col min="15121" max="15121" width="7.42578125" style="146" customWidth="1"/>
    <col min="15122" max="15122" width="7.5703125" style="146" customWidth="1"/>
    <col min="15123" max="15123" width="11" style="146" customWidth="1"/>
    <col min="15124" max="15124" width="13.42578125" style="146" customWidth="1"/>
    <col min="15125" max="15125" width="12.42578125" style="146" customWidth="1"/>
    <col min="15126" max="15127" width="7.85546875" style="146" customWidth="1"/>
    <col min="15128" max="15128" width="12.140625" style="146" customWidth="1"/>
    <col min="15129" max="15129" width="20.85546875" style="146" customWidth="1"/>
    <col min="15130" max="15131" width="10" style="146" customWidth="1"/>
    <col min="15132" max="15132" width="11.28515625" style="146" bestFit="1" customWidth="1"/>
    <col min="15133" max="15133" width="10" style="146" customWidth="1"/>
    <col min="15134" max="15137" width="10.140625" style="146" bestFit="1" customWidth="1"/>
    <col min="15138" max="15356" width="9.140625" style="146"/>
    <col min="15357" max="15357" width="7.42578125" style="146" customWidth="1"/>
    <col min="15358" max="15358" width="41.7109375" style="146" customWidth="1"/>
    <col min="15359" max="15361" width="0" style="146" hidden="1" customWidth="1"/>
    <col min="15362" max="15362" width="12.7109375" style="146" customWidth="1"/>
    <col min="15363" max="15363" width="24.140625" style="146" customWidth="1"/>
    <col min="15364" max="15364" width="0" style="146" hidden="1" customWidth="1"/>
    <col min="15365" max="15365" width="7.85546875" style="146" customWidth="1"/>
    <col min="15366" max="15366" width="13.140625" style="146" customWidth="1"/>
    <col min="15367" max="15367" width="13" style="146" customWidth="1"/>
    <col min="15368" max="15368" width="10.5703125" style="146" customWidth="1"/>
    <col min="15369" max="15369" width="11.42578125" style="146" customWidth="1"/>
    <col min="15370" max="15370" width="12.85546875" style="146" bestFit="1" customWidth="1"/>
    <col min="15371" max="15371" width="0" style="146" hidden="1" customWidth="1"/>
    <col min="15372" max="15372" width="10" style="146" bestFit="1" customWidth="1"/>
    <col min="15373" max="15373" width="8.85546875" style="146" customWidth="1"/>
    <col min="15374" max="15374" width="8.5703125" style="146" customWidth="1"/>
    <col min="15375" max="15375" width="10.5703125" style="146" customWidth="1"/>
    <col min="15376" max="15376" width="9.42578125" style="146" customWidth="1"/>
    <col min="15377" max="15377" width="7.42578125" style="146" customWidth="1"/>
    <col min="15378" max="15378" width="7.5703125" style="146" customWidth="1"/>
    <col min="15379" max="15379" width="11" style="146" customWidth="1"/>
    <col min="15380" max="15380" width="13.42578125" style="146" customWidth="1"/>
    <col min="15381" max="15381" width="12.42578125" style="146" customWidth="1"/>
    <col min="15382" max="15383" width="7.85546875" style="146" customWidth="1"/>
    <col min="15384" max="15384" width="12.140625" style="146" customWidth="1"/>
    <col min="15385" max="15385" width="20.85546875" style="146" customWidth="1"/>
    <col min="15386" max="15387" width="10" style="146" customWidth="1"/>
    <col min="15388" max="15388" width="11.28515625" style="146" bestFit="1" customWidth="1"/>
    <col min="15389" max="15389" width="10" style="146" customWidth="1"/>
    <col min="15390" max="15393" width="10.140625" style="146" bestFit="1" customWidth="1"/>
    <col min="15394" max="15612" width="9.140625" style="146"/>
    <col min="15613" max="15613" width="7.42578125" style="146" customWidth="1"/>
    <col min="15614" max="15614" width="41.7109375" style="146" customWidth="1"/>
    <col min="15615" max="15617" width="0" style="146" hidden="1" customWidth="1"/>
    <col min="15618" max="15618" width="12.7109375" style="146" customWidth="1"/>
    <col min="15619" max="15619" width="24.140625" style="146" customWidth="1"/>
    <col min="15620" max="15620" width="0" style="146" hidden="1" customWidth="1"/>
    <col min="15621" max="15621" width="7.85546875" style="146" customWidth="1"/>
    <col min="15622" max="15622" width="13.140625" style="146" customWidth="1"/>
    <col min="15623" max="15623" width="13" style="146" customWidth="1"/>
    <col min="15624" max="15624" width="10.5703125" style="146" customWidth="1"/>
    <col min="15625" max="15625" width="11.42578125" style="146" customWidth="1"/>
    <col min="15626" max="15626" width="12.85546875" style="146" bestFit="1" customWidth="1"/>
    <col min="15627" max="15627" width="0" style="146" hidden="1" customWidth="1"/>
    <col min="15628" max="15628" width="10" style="146" bestFit="1" customWidth="1"/>
    <col min="15629" max="15629" width="8.85546875" style="146" customWidth="1"/>
    <col min="15630" max="15630" width="8.5703125" style="146" customWidth="1"/>
    <col min="15631" max="15631" width="10.5703125" style="146" customWidth="1"/>
    <col min="15632" max="15632" width="9.42578125" style="146" customWidth="1"/>
    <col min="15633" max="15633" width="7.42578125" style="146" customWidth="1"/>
    <col min="15634" max="15634" width="7.5703125" style="146" customWidth="1"/>
    <col min="15635" max="15635" width="11" style="146" customWidth="1"/>
    <col min="15636" max="15636" width="13.42578125" style="146" customWidth="1"/>
    <col min="15637" max="15637" width="12.42578125" style="146" customWidth="1"/>
    <col min="15638" max="15639" width="7.85546875" style="146" customWidth="1"/>
    <col min="15640" max="15640" width="12.140625" style="146" customWidth="1"/>
    <col min="15641" max="15641" width="20.85546875" style="146" customWidth="1"/>
    <col min="15642" max="15643" width="10" style="146" customWidth="1"/>
    <col min="15644" max="15644" width="11.28515625" style="146" bestFit="1" customWidth="1"/>
    <col min="15645" max="15645" width="10" style="146" customWidth="1"/>
    <col min="15646" max="15649" width="10.140625" style="146" bestFit="1" customWidth="1"/>
    <col min="15650" max="15868" width="9.140625" style="146"/>
    <col min="15869" max="15869" width="7.42578125" style="146" customWidth="1"/>
    <col min="15870" max="15870" width="41.7109375" style="146" customWidth="1"/>
    <col min="15871" max="15873" width="0" style="146" hidden="1" customWidth="1"/>
    <col min="15874" max="15874" width="12.7109375" style="146" customWidth="1"/>
    <col min="15875" max="15875" width="24.140625" style="146" customWidth="1"/>
    <col min="15876" max="15876" width="0" style="146" hidden="1" customWidth="1"/>
    <col min="15877" max="15877" width="7.85546875" style="146" customWidth="1"/>
    <col min="15878" max="15878" width="13.140625" style="146" customWidth="1"/>
    <col min="15879" max="15879" width="13" style="146" customWidth="1"/>
    <col min="15880" max="15880" width="10.5703125" style="146" customWidth="1"/>
    <col min="15881" max="15881" width="11.42578125" style="146" customWidth="1"/>
    <col min="15882" max="15882" width="12.85546875" style="146" bestFit="1" customWidth="1"/>
    <col min="15883" max="15883" width="0" style="146" hidden="1" customWidth="1"/>
    <col min="15884" max="15884" width="10" style="146" bestFit="1" customWidth="1"/>
    <col min="15885" max="15885" width="8.85546875" style="146" customWidth="1"/>
    <col min="15886" max="15886" width="8.5703125" style="146" customWidth="1"/>
    <col min="15887" max="15887" width="10.5703125" style="146" customWidth="1"/>
    <col min="15888" max="15888" width="9.42578125" style="146" customWidth="1"/>
    <col min="15889" max="15889" width="7.42578125" style="146" customWidth="1"/>
    <col min="15890" max="15890" width="7.5703125" style="146" customWidth="1"/>
    <col min="15891" max="15891" width="11" style="146" customWidth="1"/>
    <col min="15892" max="15892" width="13.42578125" style="146" customWidth="1"/>
    <col min="15893" max="15893" width="12.42578125" style="146" customWidth="1"/>
    <col min="15894" max="15895" width="7.85546875" style="146" customWidth="1"/>
    <col min="15896" max="15896" width="12.140625" style="146" customWidth="1"/>
    <col min="15897" max="15897" width="20.85546875" style="146" customWidth="1"/>
    <col min="15898" max="15899" width="10" style="146" customWidth="1"/>
    <col min="15900" max="15900" width="11.28515625" style="146" bestFit="1" customWidth="1"/>
    <col min="15901" max="15901" width="10" style="146" customWidth="1"/>
    <col min="15902" max="15905" width="10.140625" style="146" bestFit="1" customWidth="1"/>
    <col min="15906" max="16124" width="9.140625" style="146"/>
    <col min="16125" max="16125" width="7.42578125" style="146" customWidth="1"/>
    <col min="16126" max="16126" width="41.7109375" style="146" customWidth="1"/>
    <col min="16127" max="16129" width="0" style="146" hidden="1" customWidth="1"/>
    <col min="16130" max="16130" width="12.7109375" style="146" customWidth="1"/>
    <col min="16131" max="16131" width="24.140625" style="146" customWidth="1"/>
    <col min="16132" max="16132" width="0" style="146" hidden="1" customWidth="1"/>
    <col min="16133" max="16133" width="7.85546875" style="146" customWidth="1"/>
    <col min="16134" max="16134" width="13.140625" style="146" customWidth="1"/>
    <col min="16135" max="16135" width="13" style="146" customWidth="1"/>
    <col min="16136" max="16136" width="10.5703125" style="146" customWidth="1"/>
    <col min="16137" max="16137" width="11.42578125" style="146" customWidth="1"/>
    <col min="16138" max="16138" width="12.85546875" style="146" bestFit="1" customWidth="1"/>
    <col min="16139" max="16139" width="0" style="146" hidden="1" customWidth="1"/>
    <col min="16140" max="16140" width="10" style="146" bestFit="1" customWidth="1"/>
    <col min="16141" max="16141" width="8.85546875" style="146" customWidth="1"/>
    <col min="16142" max="16142" width="8.5703125" style="146" customWidth="1"/>
    <col min="16143" max="16143" width="10.5703125" style="146" customWidth="1"/>
    <col min="16144" max="16144" width="9.42578125" style="146" customWidth="1"/>
    <col min="16145" max="16145" width="7.42578125" style="146" customWidth="1"/>
    <col min="16146" max="16146" width="7.5703125" style="146" customWidth="1"/>
    <col min="16147" max="16147" width="11" style="146" customWidth="1"/>
    <col min="16148" max="16148" width="13.42578125" style="146" customWidth="1"/>
    <col min="16149" max="16149" width="12.42578125" style="146" customWidth="1"/>
    <col min="16150" max="16151" width="7.85546875" style="146" customWidth="1"/>
    <col min="16152" max="16152" width="12.140625" style="146" customWidth="1"/>
    <col min="16153" max="16153" width="20.85546875" style="146" customWidth="1"/>
    <col min="16154" max="16155" width="10" style="146" customWidth="1"/>
    <col min="16156" max="16156" width="11.28515625" style="146" bestFit="1" customWidth="1"/>
    <col min="16157" max="16157" width="10" style="146" customWidth="1"/>
    <col min="16158" max="16161" width="10.140625" style="146" bestFit="1" customWidth="1"/>
    <col min="16162" max="16380" width="9.140625" style="146"/>
    <col min="16381" max="16384" width="9.140625" style="146" customWidth="1"/>
  </cols>
  <sheetData>
    <row r="1" spans="1:249" ht="24.75" customHeight="1">
      <c r="A1" s="1138" t="s">
        <v>1674</v>
      </c>
      <c r="B1" s="1138"/>
      <c r="C1" s="1138"/>
      <c r="D1" s="1138"/>
      <c r="E1" s="1138"/>
      <c r="F1" s="1138"/>
      <c r="G1" s="1138"/>
      <c r="H1" s="1138"/>
      <c r="I1" s="1138"/>
      <c r="J1" s="1138"/>
      <c r="K1" s="1138"/>
      <c r="L1" s="1138"/>
      <c r="M1" s="1138"/>
      <c r="N1" s="1138"/>
      <c r="O1" s="1138"/>
      <c r="P1" s="1138"/>
      <c r="Q1" s="1138"/>
      <c r="R1" s="1138"/>
      <c r="S1" s="1138"/>
      <c r="T1" s="1138"/>
      <c r="U1" s="1138"/>
      <c r="V1" s="1138"/>
      <c r="W1" s="1138"/>
      <c r="X1" s="1138"/>
      <c r="Y1" s="1138"/>
      <c r="Z1" s="1138"/>
      <c r="AA1" s="1138"/>
      <c r="AB1" s="1138"/>
      <c r="AC1" s="1138"/>
    </row>
    <row r="2" spans="1:249" ht="18" customHeight="1">
      <c r="A2" s="1138" t="s">
        <v>1867</v>
      </c>
      <c r="B2" s="1138"/>
      <c r="C2" s="1138"/>
      <c r="D2" s="1138"/>
      <c r="E2" s="1138"/>
      <c r="F2" s="1138"/>
      <c r="G2" s="1138"/>
      <c r="H2" s="1138"/>
      <c r="I2" s="1138"/>
      <c r="J2" s="1138"/>
      <c r="K2" s="1138"/>
      <c r="L2" s="1138"/>
      <c r="M2" s="1138"/>
      <c r="N2" s="1138"/>
      <c r="O2" s="1138"/>
      <c r="P2" s="1138"/>
      <c r="Q2" s="1138"/>
      <c r="R2" s="1138"/>
      <c r="S2" s="1138"/>
      <c r="T2" s="1138"/>
      <c r="U2" s="1138"/>
      <c r="V2" s="1138"/>
      <c r="W2" s="1138"/>
      <c r="X2" s="1138"/>
      <c r="Y2" s="1138"/>
      <c r="Z2" s="1138"/>
      <c r="AA2" s="1138"/>
      <c r="AB2" s="1138"/>
      <c r="AC2" s="1138"/>
    </row>
    <row r="3" spans="1:249" ht="18" customHeight="1">
      <c r="A3" s="1139" t="s">
        <v>1881</v>
      </c>
      <c r="B3" s="1139"/>
      <c r="C3" s="1139"/>
      <c r="D3" s="1139"/>
      <c r="E3" s="1139"/>
      <c r="F3" s="1139"/>
      <c r="G3" s="1139"/>
      <c r="H3" s="1139"/>
      <c r="I3" s="1139"/>
      <c r="J3" s="1139"/>
      <c r="K3" s="1139"/>
      <c r="L3" s="1139"/>
      <c r="M3" s="1139"/>
      <c r="N3" s="1139"/>
      <c r="O3" s="1139"/>
      <c r="P3" s="1139"/>
      <c r="Q3" s="1139"/>
      <c r="R3" s="1139"/>
      <c r="S3" s="1139"/>
      <c r="T3" s="1139"/>
      <c r="U3" s="1139"/>
      <c r="V3" s="1139"/>
      <c r="W3" s="1139"/>
      <c r="X3" s="1139"/>
      <c r="Y3" s="1139"/>
      <c r="Z3" s="1139"/>
      <c r="AA3" s="1139"/>
      <c r="AB3" s="1139"/>
      <c r="AC3" s="1139"/>
    </row>
    <row r="4" spans="1:249" ht="20.25" customHeight="1">
      <c r="AA4" s="1140" t="s">
        <v>1392</v>
      </c>
      <c r="AB4" s="1140"/>
      <c r="AC4" s="1140"/>
    </row>
    <row r="5" spans="1:249" ht="26.25" customHeight="1">
      <c r="A5" s="1141" t="s">
        <v>1601</v>
      </c>
      <c r="B5" s="1141" t="s">
        <v>24</v>
      </c>
      <c r="C5" s="811"/>
      <c r="D5" s="811"/>
      <c r="E5" s="811"/>
      <c r="F5" s="1141" t="s">
        <v>1602</v>
      </c>
      <c r="G5" s="1141" t="s">
        <v>26</v>
      </c>
      <c r="H5" s="811"/>
      <c r="I5" s="1142" t="s">
        <v>1603</v>
      </c>
      <c r="J5" s="1141" t="s">
        <v>1604</v>
      </c>
      <c r="K5" s="1141"/>
      <c r="L5" s="1141"/>
      <c r="M5" s="1141"/>
      <c r="N5" s="1141"/>
      <c r="O5" s="811"/>
      <c r="P5" s="1143" t="s">
        <v>1605</v>
      </c>
      <c r="Q5" s="1143"/>
      <c r="R5" s="1143"/>
      <c r="S5" s="1143"/>
      <c r="T5" s="1144" t="s">
        <v>60</v>
      </c>
      <c r="U5" s="1144"/>
      <c r="V5" s="1144"/>
      <c r="W5" s="1144"/>
      <c r="X5" s="1148" t="s">
        <v>1606</v>
      </c>
      <c r="Y5" s="1145" t="s">
        <v>61</v>
      </c>
      <c r="Z5" s="1145"/>
      <c r="AA5" s="1145"/>
      <c r="AB5" s="1145"/>
      <c r="AC5" s="1141" t="s">
        <v>1243</v>
      </c>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c r="GZ5" s="8"/>
      <c r="HA5" s="8"/>
      <c r="HB5" s="8"/>
      <c r="HC5" s="8"/>
      <c r="HD5" s="8"/>
      <c r="HE5" s="8"/>
      <c r="HF5" s="8"/>
      <c r="HG5" s="8"/>
      <c r="HH5" s="8"/>
      <c r="HI5" s="8"/>
      <c r="HJ5" s="8"/>
      <c r="HK5" s="8"/>
      <c r="HL5" s="8"/>
      <c r="HM5" s="8"/>
      <c r="HN5" s="8"/>
      <c r="HO5" s="8"/>
      <c r="HP5" s="8"/>
      <c r="HQ5" s="8"/>
      <c r="HR5" s="8"/>
      <c r="HS5" s="8"/>
      <c r="HT5" s="8"/>
      <c r="HU5" s="8"/>
      <c r="HV5" s="8"/>
      <c r="HW5" s="8"/>
      <c r="HX5" s="8"/>
      <c r="HY5" s="8"/>
      <c r="HZ5" s="8"/>
      <c r="IA5" s="8"/>
      <c r="IB5" s="8"/>
      <c r="IC5" s="8"/>
      <c r="ID5" s="8"/>
      <c r="IE5" s="8"/>
      <c r="IF5" s="8"/>
      <c r="IG5" s="8"/>
      <c r="IH5" s="8"/>
      <c r="II5" s="8"/>
      <c r="IJ5" s="8"/>
      <c r="IK5" s="8"/>
      <c r="IL5" s="8"/>
      <c r="IM5" s="8"/>
      <c r="IN5" s="8"/>
      <c r="IO5" s="8"/>
    </row>
    <row r="6" spans="1:249" ht="29.25" customHeight="1">
      <c r="A6" s="1141"/>
      <c r="B6" s="1141"/>
      <c r="C6" s="811"/>
      <c r="D6" s="811"/>
      <c r="E6" s="811"/>
      <c r="F6" s="1141"/>
      <c r="G6" s="1141"/>
      <c r="H6" s="811"/>
      <c r="I6" s="1142"/>
      <c r="J6" s="1141" t="s">
        <v>1648</v>
      </c>
      <c r="K6" s="1143" t="s">
        <v>30</v>
      </c>
      <c r="L6" s="1143"/>
      <c r="M6" s="1143"/>
      <c r="N6" s="1143"/>
      <c r="O6" s="812"/>
      <c r="P6" s="1143"/>
      <c r="Q6" s="1143"/>
      <c r="R6" s="1143"/>
      <c r="S6" s="1143"/>
      <c r="T6" s="1144"/>
      <c r="U6" s="1144"/>
      <c r="V6" s="1144"/>
      <c r="W6" s="1144"/>
      <c r="X6" s="1148"/>
      <c r="Y6" s="1145"/>
      <c r="Z6" s="1145"/>
      <c r="AA6" s="1145"/>
      <c r="AB6" s="1145"/>
      <c r="AC6" s="1141"/>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c r="HH6" s="8"/>
      <c r="HI6" s="8"/>
      <c r="HJ6" s="8"/>
      <c r="HK6" s="8"/>
      <c r="HL6" s="8"/>
      <c r="HM6" s="8"/>
      <c r="HN6" s="8"/>
      <c r="HO6" s="8"/>
      <c r="HP6" s="8"/>
      <c r="HQ6" s="8"/>
      <c r="HR6" s="8"/>
      <c r="HS6" s="8"/>
      <c r="HT6" s="8"/>
      <c r="HU6" s="8"/>
      <c r="HV6" s="8"/>
      <c r="HW6" s="8"/>
      <c r="HX6" s="8"/>
      <c r="HY6" s="8"/>
      <c r="HZ6" s="8"/>
      <c r="IA6" s="8"/>
      <c r="IB6" s="8"/>
      <c r="IC6" s="8"/>
      <c r="ID6" s="8"/>
      <c r="IE6" s="8"/>
      <c r="IF6" s="8"/>
      <c r="IG6" s="8"/>
      <c r="IH6" s="8"/>
      <c r="II6" s="8"/>
      <c r="IJ6" s="8"/>
      <c r="IK6" s="8"/>
      <c r="IL6" s="8"/>
      <c r="IM6" s="8"/>
      <c r="IN6" s="8"/>
      <c r="IO6" s="8"/>
    </row>
    <row r="7" spans="1:249" ht="46.5" customHeight="1">
      <c r="A7" s="1141"/>
      <c r="B7" s="1141"/>
      <c r="C7" s="811"/>
      <c r="D7" s="811"/>
      <c r="E7" s="811"/>
      <c r="F7" s="1141"/>
      <c r="G7" s="1141"/>
      <c r="H7" s="811"/>
      <c r="I7" s="1142"/>
      <c r="J7" s="1141"/>
      <c r="K7" s="1143" t="s">
        <v>31</v>
      </c>
      <c r="L7" s="1144" t="s">
        <v>32</v>
      </c>
      <c r="M7" s="1144"/>
      <c r="N7" s="1144"/>
      <c r="O7" s="814"/>
      <c r="P7" s="1143" t="s">
        <v>1432</v>
      </c>
      <c r="Q7" s="1143" t="s">
        <v>1730</v>
      </c>
      <c r="R7" s="1143"/>
      <c r="S7" s="1143"/>
      <c r="T7" s="1143" t="s">
        <v>1432</v>
      </c>
      <c r="U7" s="1144" t="s">
        <v>32</v>
      </c>
      <c r="V7" s="1144"/>
      <c r="W7" s="1144"/>
      <c r="X7" s="1148"/>
      <c r="Y7" s="1141" t="s">
        <v>1432</v>
      </c>
      <c r="Z7" s="1145" t="s">
        <v>32</v>
      </c>
      <c r="AA7" s="1145"/>
      <c r="AB7" s="1145"/>
      <c r="AC7" s="1141"/>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8"/>
      <c r="DS7" s="8"/>
      <c r="DT7" s="8"/>
      <c r="DU7" s="8"/>
      <c r="DV7" s="8"/>
      <c r="DW7" s="8"/>
      <c r="DX7" s="8"/>
      <c r="DY7" s="8"/>
      <c r="DZ7" s="8"/>
      <c r="EA7" s="8"/>
      <c r="EB7" s="8"/>
      <c r="EC7" s="8"/>
      <c r="ED7" s="8"/>
      <c r="EE7" s="8"/>
      <c r="EF7" s="8"/>
      <c r="EG7" s="8"/>
      <c r="EH7" s="8"/>
      <c r="EI7" s="8"/>
      <c r="EJ7" s="8"/>
      <c r="EK7" s="8"/>
      <c r="EL7" s="8"/>
      <c r="EM7" s="8"/>
      <c r="EN7" s="8"/>
      <c r="EO7" s="8"/>
      <c r="EP7" s="8"/>
      <c r="EQ7" s="8"/>
      <c r="ER7" s="8"/>
      <c r="ES7" s="8"/>
      <c r="ET7" s="8"/>
      <c r="EU7" s="8"/>
      <c r="EV7" s="8"/>
      <c r="EW7" s="8"/>
      <c r="EX7" s="8"/>
      <c r="EY7" s="8"/>
      <c r="EZ7" s="8"/>
      <c r="FA7" s="8"/>
      <c r="FB7" s="8"/>
      <c r="FC7" s="8"/>
      <c r="FD7" s="8"/>
      <c r="FE7" s="8"/>
      <c r="FF7" s="8"/>
      <c r="FG7" s="8"/>
      <c r="FH7" s="8"/>
      <c r="FI7" s="8"/>
      <c r="FJ7" s="8"/>
      <c r="FK7" s="8"/>
      <c r="FL7" s="8"/>
      <c r="FM7" s="8"/>
      <c r="FN7" s="8"/>
      <c r="FO7" s="8"/>
      <c r="FP7" s="8"/>
      <c r="FQ7" s="8"/>
      <c r="FR7" s="8"/>
      <c r="FS7" s="8"/>
      <c r="FT7" s="8"/>
      <c r="FU7" s="8"/>
      <c r="FV7" s="8"/>
      <c r="FW7" s="8"/>
      <c r="FX7" s="8"/>
      <c r="FY7" s="8"/>
      <c r="FZ7" s="8"/>
      <c r="GA7" s="8"/>
      <c r="GB7" s="8"/>
      <c r="GC7" s="8"/>
      <c r="GD7" s="8"/>
      <c r="GE7" s="8"/>
      <c r="GF7" s="8"/>
      <c r="GG7" s="8"/>
      <c r="GH7" s="8"/>
      <c r="GI7" s="8"/>
      <c r="GJ7" s="8"/>
      <c r="GK7" s="8"/>
      <c r="GL7" s="8"/>
      <c r="GM7" s="8"/>
      <c r="GN7" s="8"/>
      <c r="GO7" s="8"/>
      <c r="GP7" s="8"/>
      <c r="GQ7" s="8"/>
      <c r="GR7" s="8"/>
      <c r="GS7" s="8"/>
      <c r="GT7" s="8"/>
      <c r="GU7" s="8"/>
      <c r="GV7" s="8"/>
      <c r="GW7" s="8"/>
      <c r="GX7" s="8"/>
      <c r="GY7" s="8"/>
      <c r="GZ7" s="8"/>
      <c r="HA7" s="8"/>
      <c r="HB7" s="8"/>
      <c r="HC7" s="8"/>
      <c r="HD7" s="8"/>
      <c r="HE7" s="8"/>
      <c r="HF7" s="8"/>
      <c r="HG7" s="8"/>
      <c r="HH7" s="8"/>
      <c r="HI7" s="8"/>
      <c r="HJ7" s="8"/>
      <c r="HK7" s="8"/>
      <c r="HL7" s="8"/>
      <c r="HM7" s="8"/>
      <c r="HN7" s="8"/>
      <c r="HO7" s="8"/>
      <c r="HP7" s="8"/>
      <c r="HQ7" s="8"/>
      <c r="HR7" s="8"/>
      <c r="HS7" s="8"/>
      <c r="HT7" s="8"/>
      <c r="HU7" s="8"/>
      <c r="HV7" s="8"/>
      <c r="HW7" s="8"/>
      <c r="HX7" s="8"/>
      <c r="HY7" s="8"/>
      <c r="HZ7" s="8"/>
      <c r="IA7" s="8"/>
      <c r="IB7" s="8"/>
      <c r="IC7" s="8"/>
      <c r="ID7" s="8"/>
      <c r="IE7" s="8"/>
      <c r="IF7" s="8"/>
      <c r="IG7" s="8"/>
      <c r="IH7" s="8"/>
      <c r="II7" s="8"/>
      <c r="IJ7" s="8"/>
      <c r="IK7" s="8"/>
      <c r="IL7" s="8"/>
      <c r="IM7" s="8"/>
      <c r="IN7" s="8"/>
      <c r="IO7" s="8"/>
    </row>
    <row r="8" spans="1:249" ht="42.75">
      <c r="A8" s="1141"/>
      <c r="B8" s="1141"/>
      <c r="C8" s="811"/>
      <c r="D8" s="811"/>
      <c r="E8" s="811"/>
      <c r="F8" s="1141"/>
      <c r="G8" s="1141"/>
      <c r="H8" s="811"/>
      <c r="I8" s="1142"/>
      <c r="J8" s="1141"/>
      <c r="K8" s="1143"/>
      <c r="L8" s="812" t="s">
        <v>33</v>
      </c>
      <c r="M8" s="812" t="s">
        <v>1607</v>
      </c>
      <c r="N8" s="812" t="s">
        <v>1608</v>
      </c>
      <c r="O8" s="812"/>
      <c r="P8" s="1143"/>
      <c r="Q8" s="812" t="s">
        <v>33</v>
      </c>
      <c r="R8" s="812" t="s">
        <v>1607</v>
      </c>
      <c r="S8" s="812" t="s">
        <v>1608</v>
      </c>
      <c r="T8" s="1143"/>
      <c r="U8" s="812" t="s">
        <v>33</v>
      </c>
      <c r="V8" s="812" t="s">
        <v>1607</v>
      </c>
      <c r="W8" s="812" t="s">
        <v>1608</v>
      </c>
      <c r="X8" s="1148"/>
      <c r="Y8" s="1141"/>
      <c r="Z8" s="260" t="s">
        <v>33</v>
      </c>
      <c r="AA8" s="812" t="s">
        <v>1607</v>
      </c>
      <c r="AB8" s="811" t="s">
        <v>1608</v>
      </c>
      <c r="AC8" s="1141"/>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c r="FC8" s="8"/>
      <c r="FD8" s="8"/>
      <c r="FE8" s="8"/>
      <c r="FF8" s="8"/>
      <c r="FG8" s="8"/>
      <c r="FH8" s="8"/>
      <c r="FI8" s="8"/>
      <c r="FJ8" s="8"/>
      <c r="FK8" s="8"/>
      <c r="FL8" s="8"/>
      <c r="FM8" s="8"/>
      <c r="FN8" s="8"/>
      <c r="FO8" s="8"/>
      <c r="FP8" s="8"/>
      <c r="FQ8" s="8"/>
      <c r="FR8" s="8"/>
      <c r="FS8" s="8"/>
      <c r="FT8" s="8"/>
      <c r="FU8" s="8"/>
      <c r="FV8" s="8"/>
      <c r="FW8" s="8"/>
      <c r="FX8" s="8"/>
      <c r="FY8" s="8"/>
      <c r="FZ8" s="8"/>
      <c r="GA8" s="8"/>
      <c r="GB8" s="8"/>
      <c r="GC8" s="8"/>
      <c r="GD8" s="8"/>
      <c r="GE8" s="8"/>
      <c r="GF8" s="8"/>
      <c r="GG8" s="8"/>
      <c r="GH8" s="8"/>
      <c r="GI8" s="8"/>
      <c r="GJ8" s="8"/>
      <c r="GK8" s="8"/>
      <c r="GL8" s="8"/>
      <c r="GM8" s="8"/>
      <c r="GN8" s="8"/>
      <c r="GO8" s="8"/>
      <c r="GP8" s="8"/>
      <c r="GQ8" s="8"/>
      <c r="GR8" s="8"/>
      <c r="GS8" s="8"/>
      <c r="GT8" s="8"/>
      <c r="GU8" s="8"/>
      <c r="GV8" s="8"/>
      <c r="GW8" s="8"/>
      <c r="GX8" s="8"/>
      <c r="GY8" s="8"/>
      <c r="GZ8" s="8"/>
      <c r="HA8" s="8"/>
      <c r="HB8" s="8"/>
      <c r="HC8" s="8"/>
      <c r="HD8" s="8"/>
      <c r="HE8" s="8"/>
      <c r="HF8" s="8"/>
      <c r="HG8" s="8"/>
      <c r="HH8" s="8"/>
      <c r="HI8" s="8"/>
      <c r="HJ8" s="8"/>
      <c r="HK8" s="8"/>
      <c r="HL8" s="8"/>
      <c r="HM8" s="8"/>
      <c r="HN8" s="8"/>
      <c r="HO8" s="8"/>
      <c r="HP8" s="8"/>
      <c r="HQ8" s="8"/>
      <c r="HR8" s="8"/>
      <c r="HS8" s="8"/>
      <c r="HT8" s="8"/>
      <c r="HU8" s="8"/>
      <c r="HV8" s="8"/>
      <c r="HW8" s="8"/>
      <c r="HX8" s="8"/>
      <c r="HY8" s="8"/>
      <c r="HZ8" s="8"/>
      <c r="IA8" s="8"/>
      <c r="IB8" s="8"/>
      <c r="IC8" s="8"/>
      <c r="ID8" s="8"/>
      <c r="IE8" s="8"/>
      <c r="IF8" s="8"/>
      <c r="IG8" s="8"/>
      <c r="IH8" s="8"/>
      <c r="II8" s="8"/>
      <c r="IJ8" s="8"/>
      <c r="IK8" s="8"/>
      <c r="IL8" s="8"/>
      <c r="IM8" s="8"/>
      <c r="IN8" s="8"/>
      <c r="IO8" s="8"/>
    </row>
    <row r="9" spans="1:249" ht="24" customHeight="1">
      <c r="A9" s="835"/>
      <c r="B9" s="835" t="s">
        <v>1403</v>
      </c>
      <c r="C9" s="835"/>
      <c r="D9" s="835"/>
      <c r="E9" s="835"/>
      <c r="F9" s="835"/>
      <c r="G9" s="835"/>
      <c r="H9" s="835"/>
      <c r="I9" s="302"/>
      <c r="J9" s="836"/>
      <c r="K9" s="815">
        <f>K10+K14+K21+K23+K26+K28</f>
        <v>13211321</v>
      </c>
      <c r="L9" s="815">
        <f t="shared" ref="L9:X9" si="0">L10+L14+L21+L23+L26+L28</f>
        <v>0</v>
      </c>
      <c r="M9" s="815">
        <f t="shared" si="0"/>
        <v>2000000</v>
      </c>
      <c r="N9" s="815">
        <f t="shared" si="0"/>
        <v>6498994</v>
      </c>
      <c r="O9" s="815">
        <f t="shared" si="0"/>
        <v>0</v>
      </c>
      <c r="P9" s="815">
        <f t="shared" si="0"/>
        <v>18790</v>
      </c>
      <c r="Q9" s="815">
        <f t="shared" si="0"/>
        <v>0</v>
      </c>
      <c r="R9" s="815">
        <f t="shared" si="0"/>
        <v>0</v>
      </c>
      <c r="S9" s="815">
        <f t="shared" si="0"/>
        <v>18790</v>
      </c>
      <c r="T9" s="815">
        <f t="shared" si="0"/>
        <v>18790</v>
      </c>
      <c r="U9" s="815">
        <f t="shared" si="0"/>
        <v>0</v>
      </c>
      <c r="V9" s="815">
        <f t="shared" si="0"/>
        <v>0</v>
      </c>
      <c r="W9" s="815">
        <f t="shared" si="0"/>
        <v>18790</v>
      </c>
      <c r="X9" s="815">
        <f t="shared" si="0"/>
        <v>13192531</v>
      </c>
      <c r="Y9" s="815">
        <f>Y10+Y14+Y21+Y23+Y26+Y28</f>
        <v>1037255</v>
      </c>
      <c r="Z9" s="815">
        <f t="shared" ref="Z9:AB9" si="1">Z10+Z14+Z21+Z23+Z26+Z28</f>
        <v>0</v>
      </c>
      <c r="AA9" s="815">
        <f t="shared" si="1"/>
        <v>0</v>
      </c>
      <c r="AB9" s="815">
        <f t="shared" si="1"/>
        <v>1037255</v>
      </c>
      <c r="AC9" s="302"/>
      <c r="AD9" s="8"/>
      <c r="AE9" s="837"/>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c r="HH9" s="8"/>
      <c r="HI9" s="8"/>
      <c r="HJ9" s="8"/>
      <c r="HK9" s="8"/>
      <c r="HL9" s="8"/>
      <c r="HM9" s="8"/>
      <c r="HN9" s="8"/>
      <c r="HO9" s="8"/>
      <c r="HP9" s="8"/>
      <c r="HQ9" s="8"/>
      <c r="HR9" s="8"/>
      <c r="HS9" s="8"/>
      <c r="HT9" s="8"/>
      <c r="HU9" s="8"/>
      <c r="HV9" s="8"/>
      <c r="HW9" s="8"/>
      <c r="HX9" s="8"/>
      <c r="HY9" s="8"/>
      <c r="HZ9" s="8"/>
      <c r="IA9" s="8"/>
      <c r="IB9" s="8"/>
      <c r="IC9" s="8"/>
      <c r="ID9" s="8"/>
      <c r="IE9" s="8"/>
      <c r="IF9" s="8"/>
      <c r="IG9" s="8"/>
      <c r="IH9" s="8"/>
      <c r="II9" s="8"/>
      <c r="IJ9" s="8"/>
      <c r="IK9" s="8"/>
      <c r="IL9" s="8"/>
      <c r="IM9" s="8"/>
      <c r="IN9" s="8"/>
      <c r="IO9" s="8"/>
    </row>
    <row r="10" spans="1:249" ht="24" customHeight="1">
      <c r="A10" s="320" t="s">
        <v>36</v>
      </c>
      <c r="B10" s="312" t="s">
        <v>1731</v>
      </c>
      <c r="C10" s="320"/>
      <c r="D10" s="320"/>
      <c r="E10" s="320"/>
      <c r="F10" s="320"/>
      <c r="G10" s="320"/>
      <c r="H10" s="320"/>
      <c r="I10" s="304"/>
      <c r="J10" s="838"/>
      <c r="K10" s="817">
        <f>SUM(K11:K13)</f>
        <v>85509</v>
      </c>
      <c r="L10" s="817">
        <f t="shared" ref="L10:AB10" si="2">SUM(L11:L13)</f>
        <v>0</v>
      </c>
      <c r="M10" s="817">
        <f t="shared" si="2"/>
        <v>0</v>
      </c>
      <c r="N10" s="817">
        <f t="shared" si="2"/>
        <v>85509</v>
      </c>
      <c r="O10" s="817">
        <f t="shared" si="2"/>
        <v>0</v>
      </c>
      <c r="P10" s="817">
        <f t="shared" si="2"/>
        <v>0</v>
      </c>
      <c r="Q10" s="817">
        <f t="shared" si="2"/>
        <v>0</v>
      </c>
      <c r="R10" s="817">
        <f t="shared" si="2"/>
        <v>0</v>
      </c>
      <c r="S10" s="817">
        <f t="shared" si="2"/>
        <v>0</v>
      </c>
      <c r="T10" s="817">
        <f t="shared" si="2"/>
        <v>0</v>
      </c>
      <c r="U10" s="817">
        <f t="shared" si="2"/>
        <v>0</v>
      </c>
      <c r="V10" s="817">
        <f t="shared" si="2"/>
        <v>0</v>
      </c>
      <c r="W10" s="817">
        <f t="shared" si="2"/>
        <v>0</v>
      </c>
      <c r="X10" s="817">
        <f t="shared" si="2"/>
        <v>85509</v>
      </c>
      <c r="Y10" s="817">
        <f t="shared" si="2"/>
        <v>70000</v>
      </c>
      <c r="Z10" s="817">
        <f t="shared" si="2"/>
        <v>0</v>
      </c>
      <c r="AA10" s="817">
        <f t="shared" si="2"/>
        <v>0</v>
      </c>
      <c r="AB10" s="817">
        <f t="shared" si="2"/>
        <v>70000</v>
      </c>
      <c r="AC10" s="304"/>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c r="HG10" s="8"/>
      <c r="HH10" s="8"/>
      <c r="HI10" s="8"/>
      <c r="HJ10" s="8"/>
      <c r="HK10" s="8"/>
      <c r="HL10" s="8"/>
      <c r="HM10" s="8"/>
      <c r="HN10" s="8"/>
      <c r="HO10" s="8"/>
      <c r="HP10" s="8"/>
      <c r="HQ10" s="8"/>
      <c r="HR10" s="8"/>
      <c r="HS10" s="8"/>
      <c r="HT10" s="8"/>
      <c r="HU10" s="8"/>
      <c r="HV10" s="8"/>
      <c r="HW10" s="8"/>
      <c r="HX10" s="8"/>
      <c r="HY10" s="8"/>
      <c r="HZ10" s="8"/>
      <c r="IA10" s="8"/>
      <c r="IB10" s="8"/>
      <c r="IC10" s="8"/>
      <c r="ID10" s="8"/>
      <c r="IE10" s="8"/>
      <c r="IF10" s="8"/>
      <c r="IG10" s="8"/>
      <c r="IH10" s="8"/>
      <c r="II10" s="8"/>
      <c r="IJ10" s="8"/>
      <c r="IK10" s="8"/>
      <c r="IL10" s="8"/>
      <c r="IM10" s="8"/>
      <c r="IN10" s="8"/>
      <c r="IO10" s="8"/>
    </row>
    <row r="11" spans="1:249" s="262" customFormat="1" ht="90">
      <c r="A11" s="13">
        <v>1</v>
      </c>
      <c r="B11" s="839" t="s">
        <v>1732</v>
      </c>
      <c r="C11" s="320"/>
      <c r="D11" s="320"/>
      <c r="E11" s="320"/>
      <c r="F11" s="173" t="s">
        <v>1733</v>
      </c>
      <c r="G11" s="173" t="s">
        <v>1734</v>
      </c>
      <c r="H11" s="320"/>
      <c r="I11" s="840">
        <v>2026</v>
      </c>
      <c r="J11" s="841" t="s">
        <v>1871</v>
      </c>
      <c r="K11" s="818">
        <f>L11+M11+N11</f>
        <v>45286</v>
      </c>
      <c r="L11" s="818"/>
      <c r="M11" s="818"/>
      <c r="N11" s="314">
        <v>45286</v>
      </c>
      <c r="O11" s="817"/>
      <c r="P11" s="817"/>
      <c r="Q11" s="817"/>
      <c r="R11" s="817"/>
      <c r="S11" s="817"/>
      <c r="T11" s="817"/>
      <c r="U11" s="817"/>
      <c r="V11" s="817"/>
      <c r="W11" s="817"/>
      <c r="X11" s="819">
        <v>45286</v>
      </c>
      <c r="Y11" s="818">
        <f>AB11</f>
        <v>40000</v>
      </c>
      <c r="Z11" s="816"/>
      <c r="AA11" s="817"/>
      <c r="AB11" s="818">
        <v>40000</v>
      </c>
      <c r="AC11" s="308" t="s">
        <v>1375</v>
      </c>
      <c r="AD11" s="261"/>
      <c r="AE11" s="261"/>
      <c r="AF11" s="261"/>
      <c r="AG11" s="261"/>
      <c r="AH11" s="261"/>
      <c r="AI11" s="261"/>
      <c r="AJ11" s="261"/>
      <c r="AK11" s="261"/>
      <c r="AL11" s="261"/>
      <c r="AM11" s="261"/>
      <c r="AN11" s="261"/>
      <c r="AO11" s="261"/>
      <c r="AP11" s="261"/>
      <c r="AQ11" s="261"/>
      <c r="AR11" s="261"/>
      <c r="AS11" s="261"/>
      <c r="AT11" s="261"/>
      <c r="AU11" s="261"/>
      <c r="AV11" s="261"/>
      <c r="AW11" s="261"/>
      <c r="AX11" s="261"/>
      <c r="AY11" s="261"/>
      <c r="AZ11" s="261"/>
      <c r="BA11" s="261"/>
      <c r="BB11" s="261"/>
      <c r="BC11" s="261"/>
      <c r="BD11" s="261"/>
      <c r="BE11" s="261"/>
      <c r="BF11" s="261"/>
      <c r="BG11" s="261"/>
      <c r="BH11" s="261"/>
      <c r="BI11" s="261"/>
      <c r="BJ11" s="261"/>
      <c r="BK11" s="261"/>
      <c r="BL11" s="261"/>
      <c r="BM11" s="261"/>
      <c r="BN11" s="261"/>
      <c r="BO11" s="261"/>
      <c r="BP11" s="261"/>
      <c r="BQ11" s="261"/>
      <c r="BR11" s="261"/>
      <c r="BS11" s="261"/>
      <c r="BT11" s="261"/>
      <c r="BU11" s="261"/>
      <c r="BV11" s="261"/>
      <c r="BW11" s="261"/>
      <c r="BX11" s="261"/>
      <c r="BY11" s="261"/>
      <c r="BZ11" s="261"/>
      <c r="CA11" s="261"/>
      <c r="CB11" s="261"/>
      <c r="CC11" s="261"/>
      <c r="CD11" s="261"/>
      <c r="CE11" s="261"/>
      <c r="CF11" s="261"/>
      <c r="CG11" s="261"/>
      <c r="CH11" s="261"/>
      <c r="CI11" s="261"/>
      <c r="CJ11" s="261"/>
      <c r="CK11" s="261"/>
      <c r="CL11" s="261"/>
      <c r="CM11" s="261"/>
      <c r="CN11" s="261"/>
      <c r="CO11" s="261"/>
      <c r="CP11" s="261"/>
      <c r="CQ11" s="261"/>
      <c r="CR11" s="261"/>
      <c r="CS11" s="261"/>
      <c r="CT11" s="261"/>
      <c r="CU11" s="261"/>
      <c r="CV11" s="261"/>
      <c r="CW11" s="261"/>
      <c r="CX11" s="261"/>
      <c r="CY11" s="261"/>
      <c r="CZ11" s="261"/>
      <c r="DA11" s="261"/>
      <c r="DB11" s="261"/>
      <c r="DC11" s="261"/>
      <c r="DD11" s="261"/>
      <c r="DE11" s="261"/>
      <c r="DF11" s="261"/>
      <c r="DG11" s="261"/>
      <c r="DH11" s="261"/>
      <c r="DI11" s="261"/>
      <c r="DJ11" s="261"/>
      <c r="DK11" s="261"/>
      <c r="DL11" s="261"/>
      <c r="DM11" s="261"/>
      <c r="DN11" s="261"/>
      <c r="DO11" s="261"/>
      <c r="DP11" s="261"/>
      <c r="DQ11" s="261"/>
      <c r="DR11" s="261"/>
      <c r="DS11" s="261"/>
      <c r="DT11" s="261"/>
      <c r="DU11" s="261"/>
      <c r="DV11" s="261"/>
      <c r="DW11" s="261"/>
      <c r="DX11" s="261"/>
      <c r="DY11" s="261"/>
      <c r="DZ11" s="261"/>
      <c r="EA11" s="261"/>
      <c r="EB11" s="261"/>
      <c r="EC11" s="261"/>
      <c r="ED11" s="261"/>
      <c r="EE11" s="261"/>
      <c r="EF11" s="261"/>
      <c r="EG11" s="261"/>
      <c r="EH11" s="261"/>
      <c r="EI11" s="261"/>
      <c r="EJ11" s="261"/>
      <c r="EK11" s="261"/>
      <c r="EL11" s="261"/>
      <c r="EM11" s="261"/>
      <c r="EN11" s="261"/>
      <c r="EO11" s="261"/>
      <c r="EP11" s="261"/>
      <c r="EQ11" s="261"/>
      <c r="ER11" s="261"/>
      <c r="ES11" s="261"/>
      <c r="ET11" s="261"/>
      <c r="EU11" s="261"/>
      <c r="EV11" s="261"/>
      <c r="EW11" s="261"/>
      <c r="EX11" s="261"/>
      <c r="EY11" s="261"/>
      <c r="EZ11" s="261"/>
      <c r="FA11" s="261"/>
      <c r="FB11" s="261"/>
      <c r="FC11" s="261"/>
      <c r="FD11" s="261"/>
      <c r="FE11" s="261"/>
      <c r="FF11" s="261"/>
      <c r="FG11" s="261"/>
      <c r="FH11" s="261"/>
      <c r="FI11" s="261"/>
      <c r="FJ11" s="261"/>
      <c r="FK11" s="261"/>
      <c r="FL11" s="261"/>
      <c r="FM11" s="261"/>
      <c r="FN11" s="261"/>
      <c r="FO11" s="261"/>
      <c r="FP11" s="261"/>
      <c r="FQ11" s="261"/>
      <c r="FR11" s="261"/>
      <c r="FS11" s="261"/>
      <c r="FT11" s="261"/>
      <c r="FU11" s="261"/>
      <c r="FV11" s="261"/>
      <c r="FW11" s="261"/>
      <c r="FX11" s="261"/>
      <c r="FY11" s="261"/>
      <c r="FZ11" s="261"/>
      <c r="GA11" s="261"/>
      <c r="GB11" s="261"/>
      <c r="GC11" s="261"/>
      <c r="GD11" s="261"/>
      <c r="GE11" s="261"/>
      <c r="GF11" s="261"/>
      <c r="GG11" s="261"/>
      <c r="GH11" s="261"/>
      <c r="GI11" s="261"/>
      <c r="GJ11" s="261"/>
      <c r="GK11" s="261"/>
      <c r="GL11" s="261"/>
      <c r="GM11" s="261"/>
      <c r="GN11" s="261"/>
      <c r="GO11" s="261"/>
      <c r="GP11" s="261"/>
      <c r="GQ11" s="261"/>
      <c r="GR11" s="261"/>
      <c r="GS11" s="261"/>
      <c r="GT11" s="261"/>
      <c r="GU11" s="261"/>
      <c r="GV11" s="261"/>
      <c r="GW11" s="261"/>
      <c r="GX11" s="261"/>
      <c r="GY11" s="261"/>
      <c r="GZ11" s="261"/>
      <c r="HA11" s="261"/>
      <c r="HB11" s="261"/>
      <c r="HC11" s="261"/>
      <c r="HD11" s="261"/>
      <c r="HE11" s="261"/>
      <c r="HF11" s="261"/>
      <c r="HG11" s="261"/>
      <c r="HH11" s="261"/>
      <c r="HI11" s="261"/>
      <c r="HJ11" s="261"/>
      <c r="HK11" s="261"/>
      <c r="HL11" s="261"/>
      <c r="HM11" s="261"/>
      <c r="HN11" s="261"/>
      <c r="HO11" s="261"/>
      <c r="HP11" s="261"/>
      <c r="HQ11" s="261"/>
      <c r="HR11" s="261"/>
      <c r="HS11" s="261"/>
      <c r="HT11" s="261"/>
      <c r="HU11" s="261"/>
      <c r="HV11" s="261"/>
      <c r="HW11" s="261"/>
      <c r="HX11" s="261"/>
      <c r="HY11" s="261"/>
      <c r="HZ11" s="261"/>
      <c r="IA11" s="261"/>
      <c r="IB11" s="261"/>
      <c r="IC11" s="261"/>
      <c r="ID11" s="261"/>
      <c r="IE11" s="261"/>
      <c r="IF11" s="261"/>
      <c r="IG11" s="261"/>
      <c r="IH11" s="261"/>
      <c r="II11" s="261"/>
      <c r="IJ11" s="261"/>
      <c r="IK11" s="261"/>
      <c r="IL11" s="261"/>
      <c r="IM11" s="261"/>
      <c r="IN11" s="261"/>
      <c r="IO11" s="261"/>
    </row>
    <row r="12" spans="1:249" s="262" customFormat="1" ht="105">
      <c r="A12" s="13">
        <v>2</v>
      </c>
      <c r="B12" s="839" t="s">
        <v>1735</v>
      </c>
      <c r="C12" s="320"/>
      <c r="D12" s="320"/>
      <c r="E12" s="320"/>
      <c r="F12" s="173" t="s">
        <v>1736</v>
      </c>
      <c r="G12" s="173" t="s">
        <v>1737</v>
      </c>
      <c r="H12" s="320"/>
      <c r="I12" s="840">
        <v>2026</v>
      </c>
      <c r="J12" s="838"/>
      <c r="K12" s="818">
        <f>L12+M12+N12</f>
        <v>26634</v>
      </c>
      <c r="L12" s="818"/>
      <c r="M12" s="818"/>
      <c r="N12" s="314">
        <v>26634</v>
      </c>
      <c r="O12" s="817"/>
      <c r="P12" s="817"/>
      <c r="Q12" s="817"/>
      <c r="R12" s="817"/>
      <c r="S12" s="817"/>
      <c r="T12" s="817"/>
      <c r="U12" s="817"/>
      <c r="V12" s="817"/>
      <c r="W12" s="817"/>
      <c r="X12" s="819">
        <v>26634</v>
      </c>
      <c r="Y12" s="818">
        <f>AB12</f>
        <v>20000</v>
      </c>
      <c r="Z12" s="816"/>
      <c r="AA12" s="817"/>
      <c r="AB12" s="818">
        <v>20000</v>
      </c>
      <c r="AC12" s="308" t="s">
        <v>1375</v>
      </c>
      <c r="AD12" s="261"/>
      <c r="AE12" s="261"/>
      <c r="AF12" s="261"/>
      <c r="AG12" s="261"/>
      <c r="AH12" s="261"/>
      <c r="AI12" s="261"/>
      <c r="AJ12" s="261"/>
      <c r="AK12" s="261"/>
      <c r="AL12" s="261"/>
      <c r="AM12" s="261"/>
      <c r="AN12" s="261"/>
      <c r="AO12" s="261"/>
      <c r="AP12" s="261"/>
      <c r="AQ12" s="261"/>
      <c r="AR12" s="261"/>
      <c r="AS12" s="261"/>
      <c r="AT12" s="261"/>
      <c r="AU12" s="261"/>
      <c r="AV12" s="261"/>
      <c r="AW12" s="261"/>
      <c r="AX12" s="261"/>
      <c r="AY12" s="261"/>
      <c r="AZ12" s="261"/>
      <c r="BA12" s="261"/>
      <c r="BB12" s="261"/>
      <c r="BC12" s="261"/>
      <c r="BD12" s="261"/>
      <c r="BE12" s="261"/>
      <c r="BF12" s="261"/>
      <c r="BG12" s="261"/>
      <c r="BH12" s="261"/>
      <c r="BI12" s="261"/>
      <c r="BJ12" s="261"/>
      <c r="BK12" s="261"/>
      <c r="BL12" s="261"/>
      <c r="BM12" s="261"/>
      <c r="BN12" s="261"/>
      <c r="BO12" s="261"/>
      <c r="BP12" s="261"/>
      <c r="BQ12" s="261"/>
      <c r="BR12" s="261"/>
      <c r="BS12" s="261"/>
      <c r="BT12" s="261"/>
      <c r="BU12" s="261"/>
      <c r="BV12" s="261"/>
      <c r="BW12" s="261"/>
      <c r="BX12" s="261"/>
      <c r="BY12" s="261"/>
      <c r="BZ12" s="261"/>
      <c r="CA12" s="261"/>
      <c r="CB12" s="261"/>
      <c r="CC12" s="261"/>
      <c r="CD12" s="261"/>
      <c r="CE12" s="261"/>
      <c r="CF12" s="261"/>
      <c r="CG12" s="261"/>
      <c r="CH12" s="261"/>
      <c r="CI12" s="261"/>
      <c r="CJ12" s="261"/>
      <c r="CK12" s="261"/>
      <c r="CL12" s="261"/>
      <c r="CM12" s="261"/>
      <c r="CN12" s="261"/>
      <c r="CO12" s="261"/>
      <c r="CP12" s="261"/>
      <c r="CQ12" s="261"/>
      <c r="CR12" s="261"/>
      <c r="CS12" s="261"/>
      <c r="CT12" s="261"/>
      <c r="CU12" s="261"/>
      <c r="CV12" s="261"/>
      <c r="CW12" s="261"/>
      <c r="CX12" s="261"/>
      <c r="CY12" s="261"/>
      <c r="CZ12" s="261"/>
      <c r="DA12" s="261"/>
      <c r="DB12" s="261"/>
      <c r="DC12" s="261"/>
      <c r="DD12" s="261"/>
      <c r="DE12" s="261"/>
      <c r="DF12" s="261"/>
      <c r="DG12" s="261"/>
      <c r="DH12" s="261"/>
      <c r="DI12" s="261"/>
      <c r="DJ12" s="261"/>
      <c r="DK12" s="261"/>
      <c r="DL12" s="261"/>
      <c r="DM12" s="261"/>
      <c r="DN12" s="261"/>
      <c r="DO12" s="261"/>
      <c r="DP12" s="261"/>
      <c r="DQ12" s="261"/>
      <c r="DR12" s="261"/>
      <c r="DS12" s="261"/>
      <c r="DT12" s="261"/>
      <c r="DU12" s="261"/>
      <c r="DV12" s="261"/>
      <c r="DW12" s="261"/>
      <c r="DX12" s="261"/>
      <c r="DY12" s="261"/>
      <c r="DZ12" s="261"/>
      <c r="EA12" s="261"/>
      <c r="EB12" s="261"/>
      <c r="EC12" s="261"/>
      <c r="ED12" s="261"/>
      <c r="EE12" s="261"/>
      <c r="EF12" s="261"/>
      <c r="EG12" s="261"/>
      <c r="EH12" s="261"/>
      <c r="EI12" s="261"/>
      <c r="EJ12" s="261"/>
      <c r="EK12" s="261"/>
      <c r="EL12" s="261"/>
      <c r="EM12" s="261"/>
      <c r="EN12" s="261"/>
      <c r="EO12" s="261"/>
      <c r="EP12" s="261"/>
      <c r="EQ12" s="261"/>
      <c r="ER12" s="261"/>
      <c r="ES12" s="261"/>
      <c r="ET12" s="261"/>
      <c r="EU12" s="261"/>
      <c r="EV12" s="261"/>
      <c r="EW12" s="261"/>
      <c r="EX12" s="261"/>
      <c r="EY12" s="261"/>
      <c r="EZ12" s="261"/>
      <c r="FA12" s="261"/>
      <c r="FB12" s="261"/>
      <c r="FC12" s="261"/>
      <c r="FD12" s="261"/>
      <c r="FE12" s="261"/>
      <c r="FF12" s="261"/>
      <c r="FG12" s="261"/>
      <c r="FH12" s="261"/>
      <c r="FI12" s="261"/>
      <c r="FJ12" s="261"/>
      <c r="FK12" s="261"/>
      <c r="FL12" s="261"/>
      <c r="FM12" s="261"/>
      <c r="FN12" s="261"/>
      <c r="FO12" s="261"/>
      <c r="FP12" s="261"/>
      <c r="FQ12" s="261"/>
      <c r="FR12" s="261"/>
      <c r="FS12" s="261"/>
      <c r="FT12" s="261"/>
      <c r="FU12" s="261"/>
      <c r="FV12" s="261"/>
      <c r="FW12" s="261"/>
      <c r="FX12" s="261"/>
      <c r="FY12" s="261"/>
      <c r="FZ12" s="261"/>
      <c r="GA12" s="261"/>
      <c r="GB12" s="261"/>
      <c r="GC12" s="261"/>
      <c r="GD12" s="261"/>
      <c r="GE12" s="261"/>
      <c r="GF12" s="261"/>
      <c r="GG12" s="261"/>
      <c r="GH12" s="261"/>
      <c r="GI12" s="261"/>
      <c r="GJ12" s="261"/>
      <c r="GK12" s="261"/>
      <c r="GL12" s="261"/>
      <c r="GM12" s="261"/>
      <c r="GN12" s="261"/>
      <c r="GO12" s="261"/>
      <c r="GP12" s="261"/>
      <c r="GQ12" s="261"/>
      <c r="GR12" s="261"/>
      <c r="GS12" s="261"/>
      <c r="GT12" s="261"/>
      <c r="GU12" s="261"/>
      <c r="GV12" s="261"/>
      <c r="GW12" s="261"/>
      <c r="GX12" s="261"/>
      <c r="GY12" s="261"/>
      <c r="GZ12" s="261"/>
      <c r="HA12" s="261"/>
      <c r="HB12" s="261"/>
      <c r="HC12" s="261"/>
      <c r="HD12" s="261"/>
      <c r="HE12" s="261"/>
      <c r="HF12" s="261"/>
      <c r="HG12" s="261"/>
      <c r="HH12" s="261"/>
      <c r="HI12" s="261"/>
      <c r="HJ12" s="261"/>
      <c r="HK12" s="261"/>
      <c r="HL12" s="261"/>
      <c r="HM12" s="261"/>
      <c r="HN12" s="261"/>
      <c r="HO12" s="261"/>
      <c r="HP12" s="261"/>
      <c r="HQ12" s="261"/>
      <c r="HR12" s="261"/>
      <c r="HS12" s="261"/>
      <c r="HT12" s="261"/>
      <c r="HU12" s="261"/>
      <c r="HV12" s="261"/>
      <c r="HW12" s="261"/>
      <c r="HX12" s="261"/>
      <c r="HY12" s="261"/>
      <c r="HZ12" s="261"/>
      <c r="IA12" s="261"/>
      <c r="IB12" s="261"/>
      <c r="IC12" s="261"/>
      <c r="ID12" s="261"/>
      <c r="IE12" s="261"/>
      <c r="IF12" s="261"/>
      <c r="IG12" s="261"/>
      <c r="IH12" s="261"/>
      <c r="II12" s="261"/>
      <c r="IJ12" s="261"/>
      <c r="IK12" s="261"/>
      <c r="IL12" s="261"/>
      <c r="IM12" s="261"/>
      <c r="IN12" s="261"/>
      <c r="IO12" s="261"/>
    </row>
    <row r="13" spans="1:249" s="262" customFormat="1" ht="53.25" customHeight="1">
      <c r="A13" s="13">
        <v>3</v>
      </c>
      <c r="B13" s="842" t="s">
        <v>1738</v>
      </c>
      <c r="C13" s="320"/>
      <c r="D13" s="320"/>
      <c r="E13" s="320"/>
      <c r="F13" s="173" t="s">
        <v>1739</v>
      </c>
      <c r="G13" s="173" t="s">
        <v>1740</v>
      </c>
      <c r="H13" s="320"/>
      <c r="I13" s="840">
        <v>2026</v>
      </c>
      <c r="J13" s="838"/>
      <c r="K13" s="818">
        <f>L13+M13+N13</f>
        <v>13589</v>
      </c>
      <c r="L13" s="818"/>
      <c r="M13" s="818"/>
      <c r="N13" s="314">
        <v>13589</v>
      </c>
      <c r="O13" s="817"/>
      <c r="P13" s="817"/>
      <c r="Q13" s="817"/>
      <c r="R13" s="817"/>
      <c r="S13" s="817"/>
      <c r="T13" s="817"/>
      <c r="U13" s="817"/>
      <c r="V13" s="817"/>
      <c r="W13" s="817"/>
      <c r="X13" s="819">
        <v>13589</v>
      </c>
      <c r="Y13" s="818">
        <f>AB13</f>
        <v>10000</v>
      </c>
      <c r="Z13" s="816"/>
      <c r="AA13" s="817"/>
      <c r="AB13" s="818">
        <v>10000</v>
      </c>
      <c r="AC13" s="308" t="s">
        <v>1375</v>
      </c>
      <c r="AD13" s="261"/>
      <c r="AE13" s="261"/>
      <c r="AF13" s="261"/>
      <c r="AG13" s="261"/>
      <c r="AH13" s="261"/>
      <c r="AI13" s="261"/>
      <c r="AJ13" s="261"/>
      <c r="AK13" s="261"/>
      <c r="AL13" s="261"/>
      <c r="AM13" s="261"/>
      <c r="AN13" s="261"/>
      <c r="AO13" s="261"/>
      <c r="AP13" s="261"/>
      <c r="AQ13" s="261"/>
      <c r="AR13" s="261"/>
      <c r="AS13" s="261"/>
      <c r="AT13" s="261"/>
      <c r="AU13" s="261"/>
      <c r="AV13" s="261"/>
      <c r="AW13" s="261"/>
      <c r="AX13" s="261"/>
      <c r="AY13" s="261"/>
      <c r="AZ13" s="261"/>
      <c r="BA13" s="261"/>
      <c r="BB13" s="261"/>
      <c r="BC13" s="261"/>
      <c r="BD13" s="261"/>
      <c r="BE13" s="261"/>
      <c r="BF13" s="261"/>
      <c r="BG13" s="261"/>
      <c r="BH13" s="261"/>
      <c r="BI13" s="261"/>
      <c r="BJ13" s="261"/>
      <c r="BK13" s="261"/>
      <c r="BL13" s="261"/>
      <c r="BM13" s="261"/>
      <c r="BN13" s="261"/>
      <c r="BO13" s="261"/>
      <c r="BP13" s="261"/>
      <c r="BQ13" s="261"/>
      <c r="BR13" s="261"/>
      <c r="BS13" s="261"/>
      <c r="BT13" s="261"/>
      <c r="BU13" s="261"/>
      <c r="BV13" s="261"/>
      <c r="BW13" s="261"/>
      <c r="BX13" s="261"/>
      <c r="BY13" s="261"/>
      <c r="BZ13" s="261"/>
      <c r="CA13" s="261"/>
      <c r="CB13" s="261"/>
      <c r="CC13" s="261"/>
      <c r="CD13" s="261"/>
      <c r="CE13" s="261"/>
      <c r="CF13" s="261"/>
      <c r="CG13" s="261"/>
      <c r="CH13" s="261"/>
      <c r="CI13" s="261"/>
      <c r="CJ13" s="261"/>
      <c r="CK13" s="261"/>
      <c r="CL13" s="261"/>
      <c r="CM13" s="261"/>
      <c r="CN13" s="261"/>
      <c r="CO13" s="261"/>
      <c r="CP13" s="261"/>
      <c r="CQ13" s="261"/>
      <c r="CR13" s="261"/>
      <c r="CS13" s="261"/>
      <c r="CT13" s="261"/>
      <c r="CU13" s="261"/>
      <c r="CV13" s="261"/>
      <c r="CW13" s="261"/>
      <c r="CX13" s="261"/>
      <c r="CY13" s="261"/>
      <c r="CZ13" s="261"/>
      <c r="DA13" s="261"/>
      <c r="DB13" s="261"/>
      <c r="DC13" s="261"/>
      <c r="DD13" s="261"/>
      <c r="DE13" s="261"/>
      <c r="DF13" s="261"/>
      <c r="DG13" s="261"/>
      <c r="DH13" s="261"/>
      <c r="DI13" s="261"/>
      <c r="DJ13" s="261"/>
      <c r="DK13" s="261"/>
      <c r="DL13" s="261"/>
      <c r="DM13" s="261"/>
      <c r="DN13" s="261"/>
      <c r="DO13" s="261"/>
      <c r="DP13" s="261"/>
      <c r="DQ13" s="261"/>
      <c r="DR13" s="261"/>
      <c r="DS13" s="261"/>
      <c r="DT13" s="261"/>
      <c r="DU13" s="261"/>
      <c r="DV13" s="261"/>
      <c r="DW13" s="261"/>
      <c r="DX13" s="261"/>
      <c r="DY13" s="261"/>
      <c r="DZ13" s="261"/>
      <c r="EA13" s="261"/>
      <c r="EB13" s="261"/>
      <c r="EC13" s="261"/>
      <c r="ED13" s="261"/>
      <c r="EE13" s="261"/>
      <c r="EF13" s="261"/>
      <c r="EG13" s="261"/>
      <c r="EH13" s="261"/>
      <c r="EI13" s="261"/>
      <c r="EJ13" s="261"/>
      <c r="EK13" s="261"/>
      <c r="EL13" s="261"/>
      <c r="EM13" s="261"/>
      <c r="EN13" s="261"/>
      <c r="EO13" s="261"/>
      <c r="EP13" s="261"/>
      <c r="EQ13" s="261"/>
      <c r="ER13" s="261"/>
      <c r="ES13" s="261"/>
      <c r="ET13" s="261"/>
      <c r="EU13" s="261"/>
      <c r="EV13" s="261"/>
      <c r="EW13" s="261"/>
      <c r="EX13" s="261"/>
      <c r="EY13" s="261"/>
      <c r="EZ13" s="261"/>
      <c r="FA13" s="261"/>
      <c r="FB13" s="261"/>
      <c r="FC13" s="261"/>
      <c r="FD13" s="261"/>
      <c r="FE13" s="261"/>
      <c r="FF13" s="261"/>
      <c r="FG13" s="261"/>
      <c r="FH13" s="261"/>
      <c r="FI13" s="261"/>
      <c r="FJ13" s="261"/>
      <c r="FK13" s="261"/>
      <c r="FL13" s="261"/>
      <c r="FM13" s="261"/>
      <c r="FN13" s="261"/>
      <c r="FO13" s="261"/>
      <c r="FP13" s="261"/>
      <c r="FQ13" s="261"/>
      <c r="FR13" s="261"/>
      <c r="FS13" s="261"/>
      <c r="FT13" s="261"/>
      <c r="FU13" s="261"/>
      <c r="FV13" s="261"/>
      <c r="FW13" s="261"/>
      <c r="FX13" s="261"/>
      <c r="FY13" s="261"/>
      <c r="FZ13" s="261"/>
      <c r="GA13" s="261"/>
      <c r="GB13" s="261"/>
      <c r="GC13" s="261"/>
      <c r="GD13" s="261"/>
      <c r="GE13" s="261"/>
      <c r="GF13" s="261"/>
      <c r="GG13" s="261"/>
      <c r="GH13" s="261"/>
      <c r="GI13" s="261"/>
      <c r="GJ13" s="261"/>
      <c r="GK13" s="261"/>
      <c r="GL13" s="261"/>
      <c r="GM13" s="261"/>
      <c r="GN13" s="261"/>
      <c r="GO13" s="261"/>
      <c r="GP13" s="261"/>
      <c r="GQ13" s="261"/>
      <c r="GR13" s="261"/>
      <c r="GS13" s="261"/>
      <c r="GT13" s="261"/>
      <c r="GU13" s="261"/>
      <c r="GV13" s="261"/>
      <c r="GW13" s="261"/>
      <c r="GX13" s="261"/>
      <c r="GY13" s="261"/>
      <c r="GZ13" s="261"/>
      <c r="HA13" s="261"/>
      <c r="HB13" s="261"/>
      <c r="HC13" s="261"/>
      <c r="HD13" s="261"/>
      <c r="HE13" s="261"/>
      <c r="HF13" s="261"/>
      <c r="HG13" s="261"/>
      <c r="HH13" s="261"/>
      <c r="HI13" s="261"/>
      <c r="HJ13" s="261"/>
      <c r="HK13" s="261"/>
      <c r="HL13" s="261"/>
      <c r="HM13" s="261"/>
      <c r="HN13" s="261"/>
      <c r="HO13" s="261"/>
      <c r="HP13" s="261"/>
      <c r="HQ13" s="261"/>
      <c r="HR13" s="261"/>
      <c r="HS13" s="261"/>
      <c r="HT13" s="261"/>
      <c r="HU13" s="261"/>
      <c r="HV13" s="261"/>
      <c r="HW13" s="261"/>
      <c r="HX13" s="261"/>
      <c r="HY13" s="261"/>
      <c r="HZ13" s="261"/>
      <c r="IA13" s="261"/>
      <c r="IB13" s="261"/>
      <c r="IC13" s="261"/>
      <c r="ID13" s="261"/>
      <c r="IE13" s="261"/>
      <c r="IF13" s="261"/>
      <c r="IG13" s="261"/>
      <c r="IH13" s="261"/>
      <c r="II13" s="261"/>
      <c r="IJ13" s="261"/>
      <c r="IK13" s="261"/>
      <c r="IL13" s="261"/>
      <c r="IM13" s="261"/>
      <c r="IN13" s="261"/>
      <c r="IO13" s="261"/>
    </row>
    <row r="14" spans="1:249" s="264" customFormat="1" ht="27" customHeight="1">
      <c r="A14" s="320" t="s">
        <v>40</v>
      </c>
      <c r="B14" s="843" t="s">
        <v>1741</v>
      </c>
      <c r="C14" s="320"/>
      <c r="D14" s="320"/>
      <c r="E14" s="320"/>
      <c r="F14" s="170"/>
      <c r="G14" s="170"/>
      <c r="H14" s="320"/>
      <c r="I14" s="844"/>
      <c r="J14" s="838"/>
      <c r="K14" s="820">
        <f>SUM(K15:K17)</f>
        <v>244912</v>
      </c>
      <c r="L14" s="820">
        <f t="shared" ref="L14:X14" si="3">SUM(L15:L17)</f>
        <v>0</v>
      </c>
      <c r="M14" s="820">
        <f t="shared" si="3"/>
        <v>0</v>
      </c>
      <c r="N14" s="820">
        <f t="shared" si="3"/>
        <v>244912</v>
      </c>
      <c r="O14" s="820">
        <f t="shared" si="3"/>
        <v>0</v>
      </c>
      <c r="P14" s="820">
        <f t="shared" si="3"/>
        <v>1000</v>
      </c>
      <c r="Q14" s="820">
        <f t="shared" si="3"/>
        <v>0</v>
      </c>
      <c r="R14" s="820">
        <f t="shared" si="3"/>
        <v>0</v>
      </c>
      <c r="S14" s="820">
        <f t="shared" si="3"/>
        <v>1000</v>
      </c>
      <c r="T14" s="820">
        <f t="shared" si="3"/>
        <v>1000</v>
      </c>
      <c r="U14" s="820">
        <f t="shared" si="3"/>
        <v>0</v>
      </c>
      <c r="V14" s="820">
        <f t="shared" si="3"/>
        <v>0</v>
      </c>
      <c r="W14" s="820">
        <f t="shared" si="3"/>
        <v>1000</v>
      </c>
      <c r="X14" s="820">
        <f t="shared" si="3"/>
        <v>243912</v>
      </c>
      <c r="Y14" s="820">
        <f>SUM(Y15:Y20)</f>
        <v>141000</v>
      </c>
      <c r="Z14" s="820">
        <f t="shared" ref="Z14:AA14" si="4">SUM(Z15:Z20)</f>
        <v>0</v>
      </c>
      <c r="AA14" s="820">
        <f t="shared" si="4"/>
        <v>0</v>
      </c>
      <c r="AB14" s="820">
        <f>SUM(AB15:AB20)</f>
        <v>141000</v>
      </c>
      <c r="AC14" s="310"/>
      <c r="AD14" s="263"/>
      <c r="AE14" s="263"/>
      <c r="AF14" s="263"/>
      <c r="AG14" s="263"/>
      <c r="AH14" s="263"/>
      <c r="AI14" s="263"/>
      <c r="AJ14" s="263"/>
      <c r="AK14" s="263"/>
      <c r="AL14" s="263"/>
      <c r="AM14" s="263"/>
      <c r="AN14" s="263"/>
      <c r="AO14" s="263"/>
      <c r="AP14" s="263"/>
      <c r="AQ14" s="263"/>
      <c r="AR14" s="263"/>
      <c r="AS14" s="263"/>
      <c r="AT14" s="263"/>
      <c r="AU14" s="263"/>
      <c r="AV14" s="263"/>
      <c r="AW14" s="263"/>
      <c r="AX14" s="263"/>
      <c r="AY14" s="263"/>
      <c r="AZ14" s="263"/>
      <c r="BA14" s="263"/>
      <c r="BB14" s="263"/>
      <c r="BC14" s="263"/>
      <c r="BD14" s="263"/>
      <c r="BE14" s="263"/>
      <c r="BF14" s="263"/>
      <c r="BG14" s="263"/>
      <c r="BH14" s="263"/>
      <c r="BI14" s="263"/>
      <c r="BJ14" s="263"/>
      <c r="BK14" s="263"/>
      <c r="BL14" s="263"/>
      <c r="BM14" s="263"/>
      <c r="BN14" s="263"/>
      <c r="BO14" s="263"/>
      <c r="BP14" s="263"/>
      <c r="BQ14" s="263"/>
      <c r="BR14" s="263"/>
      <c r="BS14" s="263"/>
      <c r="BT14" s="263"/>
      <c r="BU14" s="263"/>
      <c r="BV14" s="263"/>
      <c r="BW14" s="263"/>
      <c r="BX14" s="263"/>
      <c r="BY14" s="263"/>
      <c r="BZ14" s="263"/>
      <c r="CA14" s="263"/>
      <c r="CB14" s="263"/>
      <c r="CC14" s="263"/>
      <c r="CD14" s="263"/>
      <c r="CE14" s="263"/>
      <c r="CF14" s="263"/>
      <c r="CG14" s="263"/>
      <c r="CH14" s="263"/>
      <c r="CI14" s="263"/>
      <c r="CJ14" s="263"/>
      <c r="CK14" s="263"/>
      <c r="CL14" s="263"/>
      <c r="CM14" s="263"/>
      <c r="CN14" s="263"/>
      <c r="CO14" s="263"/>
      <c r="CP14" s="263"/>
      <c r="CQ14" s="263"/>
      <c r="CR14" s="263"/>
      <c r="CS14" s="263"/>
      <c r="CT14" s="263"/>
      <c r="CU14" s="263"/>
      <c r="CV14" s="263"/>
      <c r="CW14" s="263"/>
      <c r="CX14" s="263"/>
      <c r="CY14" s="263"/>
      <c r="CZ14" s="263"/>
      <c r="DA14" s="263"/>
      <c r="DB14" s="263"/>
      <c r="DC14" s="263"/>
      <c r="DD14" s="263"/>
      <c r="DE14" s="263"/>
      <c r="DF14" s="263"/>
      <c r="DG14" s="263"/>
      <c r="DH14" s="263"/>
      <c r="DI14" s="263"/>
      <c r="DJ14" s="263"/>
      <c r="DK14" s="263"/>
      <c r="DL14" s="263"/>
      <c r="DM14" s="263"/>
      <c r="DN14" s="263"/>
      <c r="DO14" s="263"/>
      <c r="DP14" s="263"/>
      <c r="DQ14" s="263"/>
      <c r="DR14" s="263"/>
      <c r="DS14" s="263"/>
      <c r="DT14" s="263"/>
      <c r="DU14" s="263"/>
      <c r="DV14" s="263"/>
      <c r="DW14" s="263"/>
      <c r="DX14" s="263"/>
      <c r="DY14" s="263"/>
      <c r="DZ14" s="263"/>
      <c r="EA14" s="263"/>
      <c r="EB14" s="263"/>
      <c r="EC14" s="263"/>
      <c r="ED14" s="263"/>
      <c r="EE14" s="263"/>
      <c r="EF14" s="263"/>
      <c r="EG14" s="263"/>
      <c r="EH14" s="263"/>
      <c r="EI14" s="263"/>
      <c r="EJ14" s="263"/>
      <c r="EK14" s="263"/>
      <c r="EL14" s="263"/>
      <c r="EM14" s="263"/>
      <c r="EN14" s="263"/>
      <c r="EO14" s="263"/>
      <c r="EP14" s="263"/>
      <c r="EQ14" s="263"/>
      <c r="ER14" s="263"/>
      <c r="ES14" s="263"/>
      <c r="ET14" s="263"/>
      <c r="EU14" s="263"/>
      <c r="EV14" s="263"/>
      <c r="EW14" s="263"/>
      <c r="EX14" s="263"/>
      <c r="EY14" s="263"/>
      <c r="EZ14" s="263"/>
      <c r="FA14" s="263"/>
      <c r="FB14" s="263"/>
      <c r="FC14" s="263"/>
      <c r="FD14" s="263"/>
      <c r="FE14" s="263"/>
      <c r="FF14" s="263"/>
      <c r="FG14" s="263"/>
      <c r="FH14" s="263"/>
      <c r="FI14" s="263"/>
      <c r="FJ14" s="263"/>
      <c r="FK14" s="263"/>
      <c r="FL14" s="263"/>
      <c r="FM14" s="263"/>
      <c r="FN14" s="263"/>
      <c r="FO14" s="263"/>
      <c r="FP14" s="263"/>
      <c r="FQ14" s="263"/>
      <c r="FR14" s="263"/>
      <c r="FS14" s="263"/>
      <c r="FT14" s="263"/>
      <c r="FU14" s="263"/>
      <c r="FV14" s="263"/>
      <c r="FW14" s="263"/>
      <c r="FX14" s="263"/>
      <c r="FY14" s="263"/>
      <c r="FZ14" s="263"/>
      <c r="GA14" s="263"/>
      <c r="GB14" s="263"/>
      <c r="GC14" s="263"/>
      <c r="GD14" s="263"/>
      <c r="GE14" s="263"/>
      <c r="GF14" s="263"/>
      <c r="GG14" s="263"/>
      <c r="GH14" s="263"/>
      <c r="GI14" s="263"/>
      <c r="GJ14" s="263"/>
      <c r="GK14" s="263"/>
      <c r="GL14" s="263"/>
      <c r="GM14" s="263"/>
      <c r="GN14" s="263"/>
      <c r="GO14" s="263"/>
      <c r="GP14" s="263"/>
      <c r="GQ14" s="263"/>
      <c r="GR14" s="263"/>
      <c r="GS14" s="263"/>
      <c r="GT14" s="263"/>
      <c r="GU14" s="263"/>
      <c r="GV14" s="263"/>
      <c r="GW14" s="263"/>
      <c r="GX14" s="263"/>
      <c r="GY14" s="263"/>
      <c r="GZ14" s="263"/>
      <c r="HA14" s="263"/>
      <c r="HB14" s="263"/>
      <c r="HC14" s="263"/>
      <c r="HD14" s="263"/>
      <c r="HE14" s="263"/>
      <c r="HF14" s="263"/>
      <c r="HG14" s="263"/>
      <c r="HH14" s="263"/>
      <c r="HI14" s="263"/>
      <c r="HJ14" s="263"/>
      <c r="HK14" s="263"/>
      <c r="HL14" s="263"/>
      <c r="HM14" s="263"/>
      <c r="HN14" s="263"/>
      <c r="HO14" s="263"/>
      <c r="HP14" s="263"/>
      <c r="HQ14" s="263"/>
      <c r="HR14" s="263"/>
      <c r="HS14" s="263"/>
      <c r="HT14" s="263"/>
      <c r="HU14" s="263"/>
      <c r="HV14" s="263"/>
      <c r="HW14" s="263"/>
      <c r="HX14" s="263"/>
      <c r="HY14" s="263"/>
      <c r="HZ14" s="263"/>
      <c r="IA14" s="263"/>
      <c r="IB14" s="263"/>
      <c r="IC14" s="263"/>
      <c r="ID14" s="263"/>
      <c r="IE14" s="263"/>
      <c r="IF14" s="263"/>
      <c r="IG14" s="263"/>
      <c r="IH14" s="263"/>
      <c r="II14" s="263"/>
      <c r="IJ14" s="263"/>
      <c r="IK14" s="263"/>
      <c r="IL14" s="263"/>
      <c r="IM14" s="263"/>
      <c r="IN14" s="263"/>
      <c r="IO14" s="263"/>
    </row>
    <row r="15" spans="1:249" ht="42" customHeight="1">
      <c r="A15" s="13">
        <v>1</v>
      </c>
      <c r="B15" s="42" t="s">
        <v>1742</v>
      </c>
      <c r="C15" s="42"/>
      <c r="D15" s="42"/>
      <c r="E15" s="42"/>
      <c r="F15" s="13" t="s">
        <v>1676</v>
      </c>
      <c r="G15" s="13" t="s">
        <v>1743</v>
      </c>
      <c r="H15" s="13"/>
      <c r="I15" s="21" t="s">
        <v>165</v>
      </c>
      <c r="J15" s="845"/>
      <c r="K15" s="822">
        <f>SUM(M15:O15)</f>
        <v>145000</v>
      </c>
      <c r="L15" s="822"/>
      <c r="M15" s="822"/>
      <c r="N15" s="822">
        <v>145000</v>
      </c>
      <c r="O15" s="822"/>
      <c r="P15" s="822">
        <v>1000</v>
      </c>
      <c r="Q15" s="822"/>
      <c r="R15" s="822"/>
      <c r="S15" s="822">
        <v>1000</v>
      </c>
      <c r="T15" s="822">
        <v>1000</v>
      </c>
      <c r="U15" s="822"/>
      <c r="V15" s="822"/>
      <c r="W15" s="822">
        <v>1000</v>
      </c>
      <c r="X15" s="823">
        <f>+N15-T15</f>
        <v>144000</v>
      </c>
      <c r="Y15" s="823">
        <f>+AB15</f>
        <v>40000</v>
      </c>
      <c r="Z15" s="823"/>
      <c r="AA15" s="823"/>
      <c r="AB15" s="823">
        <v>40000</v>
      </c>
      <c r="AC15" s="21" t="s">
        <v>1613</v>
      </c>
      <c r="AD15" s="265"/>
      <c r="AE15" s="265"/>
      <c r="AF15" s="265"/>
      <c r="AG15" s="265"/>
      <c r="AH15" s="265"/>
      <c r="AI15" s="265"/>
      <c r="AJ15" s="265"/>
      <c r="AK15" s="265"/>
      <c r="AL15" s="265"/>
      <c r="AM15" s="265"/>
      <c r="AN15" s="265"/>
      <c r="AO15" s="265"/>
      <c r="AP15" s="265"/>
      <c r="AQ15" s="265"/>
      <c r="AR15" s="265"/>
      <c r="AS15" s="265"/>
      <c r="AT15" s="265"/>
      <c r="AU15" s="265"/>
      <c r="AV15" s="265"/>
      <c r="AW15" s="265"/>
      <c r="AX15" s="265"/>
      <c r="AY15" s="265"/>
      <c r="AZ15" s="265"/>
      <c r="BA15" s="265"/>
      <c r="BB15" s="265"/>
      <c r="BC15" s="265"/>
      <c r="BD15" s="265"/>
      <c r="BE15" s="265"/>
      <c r="BF15" s="265"/>
      <c r="BG15" s="265"/>
      <c r="BH15" s="265"/>
      <c r="BI15" s="265"/>
      <c r="BJ15" s="265"/>
      <c r="BK15" s="265"/>
      <c r="BL15" s="265"/>
      <c r="BM15" s="265"/>
      <c r="BN15" s="265"/>
      <c r="BO15" s="265"/>
      <c r="BP15" s="265"/>
      <c r="BQ15" s="265"/>
      <c r="BR15" s="265"/>
      <c r="BS15" s="265"/>
      <c r="BT15" s="265"/>
      <c r="BU15" s="265"/>
      <c r="BV15" s="265"/>
      <c r="BW15" s="265"/>
      <c r="BX15" s="265"/>
      <c r="BY15" s="265"/>
      <c r="BZ15" s="265"/>
      <c r="CA15" s="265"/>
      <c r="CB15" s="265"/>
      <c r="CC15" s="265"/>
      <c r="CD15" s="265"/>
      <c r="CE15" s="265"/>
      <c r="CF15" s="265"/>
      <c r="CG15" s="265"/>
      <c r="CH15" s="265"/>
      <c r="CI15" s="265"/>
      <c r="CJ15" s="265"/>
      <c r="CK15" s="265"/>
      <c r="CL15" s="265"/>
      <c r="CM15" s="265"/>
      <c r="CN15" s="265"/>
      <c r="CO15" s="265"/>
      <c r="CP15" s="265"/>
      <c r="CQ15" s="265"/>
      <c r="CR15" s="265"/>
      <c r="CS15" s="265"/>
      <c r="CT15" s="265"/>
      <c r="CU15" s="265"/>
      <c r="CV15" s="265"/>
      <c r="CW15" s="265"/>
      <c r="CX15" s="265"/>
      <c r="CY15" s="265"/>
      <c r="CZ15" s="265"/>
      <c r="DA15" s="265"/>
      <c r="DB15" s="265"/>
      <c r="DC15" s="265"/>
      <c r="DD15" s="265"/>
      <c r="DE15" s="265"/>
      <c r="DF15" s="265"/>
      <c r="DG15" s="265"/>
      <c r="DH15" s="265"/>
      <c r="DI15" s="265"/>
      <c r="DJ15" s="265"/>
      <c r="DK15" s="265"/>
      <c r="DL15" s="265"/>
      <c r="DM15" s="265"/>
      <c r="DN15" s="265"/>
      <c r="DO15" s="265"/>
      <c r="DP15" s="265"/>
      <c r="DQ15" s="265"/>
      <c r="DR15" s="265"/>
      <c r="DS15" s="265"/>
      <c r="DT15" s="265"/>
      <c r="DU15" s="265"/>
      <c r="DV15" s="265"/>
      <c r="DW15" s="265"/>
      <c r="DX15" s="265"/>
      <c r="DY15" s="265"/>
      <c r="DZ15" s="265"/>
      <c r="EA15" s="265"/>
      <c r="EB15" s="265"/>
      <c r="EC15" s="265"/>
      <c r="ED15" s="265"/>
      <c r="EE15" s="265"/>
      <c r="EF15" s="265"/>
      <c r="EG15" s="265"/>
      <c r="EH15" s="265"/>
      <c r="EI15" s="265"/>
      <c r="EJ15" s="265"/>
      <c r="EK15" s="265"/>
      <c r="EL15" s="265"/>
      <c r="EM15" s="265"/>
      <c r="EN15" s="265"/>
      <c r="EO15" s="265"/>
      <c r="EP15" s="265"/>
      <c r="EQ15" s="265"/>
      <c r="ER15" s="265"/>
      <c r="ES15" s="265"/>
      <c r="ET15" s="265"/>
      <c r="EU15" s="265"/>
      <c r="EV15" s="265"/>
      <c r="EW15" s="265"/>
      <c r="EX15" s="265"/>
      <c r="EY15" s="265"/>
      <c r="EZ15" s="265"/>
      <c r="FA15" s="265"/>
      <c r="FB15" s="265"/>
      <c r="FC15" s="265"/>
      <c r="FD15" s="265"/>
      <c r="FE15" s="265"/>
      <c r="FF15" s="265"/>
      <c r="FG15" s="265"/>
      <c r="FH15" s="265"/>
      <c r="FI15" s="265"/>
      <c r="FJ15" s="265"/>
      <c r="FK15" s="265"/>
      <c r="FL15" s="265"/>
      <c r="FM15" s="265"/>
      <c r="FN15" s="265"/>
      <c r="FO15" s="265"/>
      <c r="FP15" s="265"/>
      <c r="FQ15" s="265"/>
      <c r="FR15" s="265"/>
      <c r="FS15" s="265"/>
      <c r="FT15" s="265"/>
      <c r="FU15" s="265"/>
      <c r="FV15" s="265"/>
      <c r="FW15" s="265"/>
      <c r="FX15" s="265"/>
      <c r="FY15" s="265"/>
      <c r="FZ15" s="265"/>
      <c r="GA15" s="265"/>
      <c r="GB15" s="265"/>
      <c r="GC15" s="265"/>
      <c r="GD15" s="265"/>
      <c r="GE15" s="265"/>
      <c r="GF15" s="265"/>
      <c r="GG15" s="265"/>
      <c r="GH15" s="265"/>
      <c r="GI15" s="265"/>
      <c r="GJ15" s="265"/>
      <c r="GK15" s="265"/>
      <c r="GL15" s="265"/>
      <c r="GM15" s="265"/>
      <c r="GN15" s="265"/>
      <c r="GO15" s="265"/>
      <c r="GP15" s="265"/>
      <c r="GQ15" s="265"/>
      <c r="GR15" s="265"/>
      <c r="GS15" s="265"/>
      <c r="GT15" s="265"/>
      <c r="GU15" s="265"/>
      <c r="GV15" s="265"/>
      <c r="GW15" s="265"/>
      <c r="GX15" s="265"/>
      <c r="GY15" s="265"/>
      <c r="GZ15" s="265"/>
      <c r="HA15" s="265"/>
      <c r="HB15" s="265"/>
      <c r="HC15" s="265"/>
      <c r="HD15" s="265"/>
      <c r="HE15" s="265"/>
      <c r="HF15" s="265"/>
      <c r="HG15" s="265"/>
      <c r="HH15" s="265"/>
      <c r="HI15" s="265"/>
      <c r="HJ15" s="265"/>
      <c r="HK15" s="265"/>
      <c r="HL15" s="265"/>
      <c r="HM15" s="265"/>
      <c r="HN15" s="265"/>
      <c r="HO15" s="265"/>
      <c r="HP15" s="265"/>
      <c r="HQ15" s="265"/>
      <c r="HR15" s="265"/>
      <c r="HS15" s="265"/>
      <c r="HT15" s="265"/>
      <c r="HU15" s="265"/>
      <c r="HV15" s="265"/>
      <c r="HW15" s="265"/>
      <c r="HX15" s="265"/>
      <c r="HY15" s="265"/>
      <c r="HZ15" s="265"/>
      <c r="IA15" s="265"/>
      <c r="IB15" s="265"/>
      <c r="IC15" s="265"/>
      <c r="ID15" s="265"/>
      <c r="IE15" s="265"/>
      <c r="IF15" s="265"/>
      <c r="IG15" s="265"/>
      <c r="IH15" s="265"/>
      <c r="II15" s="265"/>
      <c r="IJ15" s="265"/>
      <c r="IK15" s="265"/>
      <c r="IL15" s="265"/>
      <c r="IM15" s="265"/>
      <c r="IN15" s="265"/>
      <c r="IO15" s="265"/>
    </row>
    <row r="16" spans="1:249" ht="59.25" customHeight="1">
      <c r="A16" s="13">
        <v>2</v>
      </c>
      <c r="B16" s="42" t="s">
        <v>1675</v>
      </c>
      <c r="C16" s="42"/>
      <c r="D16" s="42"/>
      <c r="E16" s="42"/>
      <c r="F16" s="13" t="s">
        <v>706</v>
      </c>
      <c r="G16" s="13" t="s">
        <v>186</v>
      </c>
      <c r="H16" s="13"/>
      <c r="I16" s="21" t="s">
        <v>165</v>
      </c>
      <c r="J16" s="845"/>
      <c r="K16" s="822">
        <f>SUM(M16:O16)</f>
        <v>44912</v>
      </c>
      <c r="L16" s="822"/>
      <c r="M16" s="822"/>
      <c r="N16" s="822">
        <v>44912</v>
      </c>
      <c r="O16" s="822"/>
      <c r="P16" s="822"/>
      <c r="Q16" s="822"/>
      <c r="R16" s="822"/>
      <c r="S16" s="822"/>
      <c r="T16" s="822">
        <v>0</v>
      </c>
      <c r="U16" s="822"/>
      <c r="V16" s="822"/>
      <c r="W16" s="822"/>
      <c r="X16" s="823">
        <f>+N16-T16</f>
        <v>44912</v>
      </c>
      <c r="Y16" s="823">
        <f>+AB16</f>
        <v>20000</v>
      </c>
      <c r="Z16" s="823"/>
      <c r="AA16" s="823"/>
      <c r="AB16" s="823">
        <v>20000</v>
      </c>
      <c r="AC16" s="21" t="s">
        <v>1613</v>
      </c>
      <c r="AD16" s="265"/>
      <c r="AE16" s="265"/>
      <c r="AF16" s="265"/>
      <c r="AG16" s="265"/>
      <c r="AH16" s="265"/>
      <c r="AI16" s="265"/>
      <c r="AJ16" s="265"/>
      <c r="AK16" s="265"/>
      <c r="AL16" s="265"/>
      <c r="AM16" s="265"/>
      <c r="AN16" s="265"/>
      <c r="AO16" s="265"/>
      <c r="AP16" s="265"/>
      <c r="AQ16" s="265"/>
      <c r="AR16" s="265"/>
      <c r="AS16" s="265"/>
      <c r="AT16" s="265"/>
      <c r="AU16" s="265"/>
      <c r="AV16" s="265"/>
      <c r="AW16" s="265"/>
      <c r="AX16" s="265"/>
      <c r="AY16" s="265"/>
      <c r="AZ16" s="265"/>
      <c r="BA16" s="265"/>
      <c r="BB16" s="265"/>
      <c r="BC16" s="265"/>
      <c r="BD16" s="265"/>
      <c r="BE16" s="265"/>
      <c r="BF16" s="265"/>
      <c r="BG16" s="265"/>
      <c r="BH16" s="265"/>
      <c r="BI16" s="265"/>
      <c r="BJ16" s="265"/>
      <c r="BK16" s="265"/>
      <c r="BL16" s="265"/>
      <c r="BM16" s="265"/>
      <c r="BN16" s="265"/>
      <c r="BO16" s="265"/>
      <c r="BP16" s="265"/>
      <c r="BQ16" s="265"/>
      <c r="BR16" s="265"/>
      <c r="BS16" s="265"/>
      <c r="BT16" s="265"/>
      <c r="BU16" s="265"/>
      <c r="BV16" s="265"/>
      <c r="BW16" s="265"/>
      <c r="BX16" s="265"/>
      <c r="BY16" s="265"/>
      <c r="BZ16" s="265"/>
      <c r="CA16" s="265"/>
      <c r="CB16" s="265"/>
      <c r="CC16" s="265"/>
      <c r="CD16" s="265"/>
      <c r="CE16" s="265"/>
      <c r="CF16" s="265"/>
      <c r="CG16" s="265"/>
      <c r="CH16" s="265"/>
      <c r="CI16" s="265"/>
      <c r="CJ16" s="265"/>
      <c r="CK16" s="265"/>
      <c r="CL16" s="265"/>
      <c r="CM16" s="265"/>
      <c r="CN16" s="265"/>
      <c r="CO16" s="265"/>
      <c r="CP16" s="265"/>
      <c r="CQ16" s="265"/>
      <c r="CR16" s="265"/>
      <c r="CS16" s="265"/>
      <c r="CT16" s="265"/>
      <c r="CU16" s="265"/>
      <c r="CV16" s="265"/>
      <c r="CW16" s="265"/>
      <c r="CX16" s="265"/>
      <c r="CY16" s="265"/>
      <c r="CZ16" s="265"/>
      <c r="DA16" s="265"/>
      <c r="DB16" s="265"/>
      <c r="DC16" s="265"/>
      <c r="DD16" s="265"/>
      <c r="DE16" s="265"/>
      <c r="DF16" s="265"/>
      <c r="DG16" s="265"/>
      <c r="DH16" s="265"/>
      <c r="DI16" s="265"/>
      <c r="DJ16" s="265"/>
      <c r="DK16" s="265"/>
      <c r="DL16" s="265"/>
      <c r="DM16" s="265"/>
      <c r="DN16" s="265"/>
      <c r="DO16" s="265"/>
      <c r="DP16" s="265"/>
      <c r="DQ16" s="265"/>
      <c r="DR16" s="265"/>
      <c r="DS16" s="265"/>
      <c r="DT16" s="265"/>
      <c r="DU16" s="265"/>
      <c r="DV16" s="265"/>
      <c r="DW16" s="265"/>
      <c r="DX16" s="265"/>
      <c r="DY16" s="265"/>
      <c r="DZ16" s="265"/>
      <c r="EA16" s="265"/>
      <c r="EB16" s="265"/>
      <c r="EC16" s="265"/>
      <c r="ED16" s="265"/>
      <c r="EE16" s="265"/>
      <c r="EF16" s="265"/>
      <c r="EG16" s="265"/>
      <c r="EH16" s="265"/>
      <c r="EI16" s="265"/>
      <c r="EJ16" s="265"/>
      <c r="EK16" s="265"/>
      <c r="EL16" s="265"/>
      <c r="EM16" s="265"/>
      <c r="EN16" s="265"/>
      <c r="EO16" s="265"/>
      <c r="EP16" s="265"/>
      <c r="EQ16" s="265"/>
      <c r="ER16" s="265"/>
      <c r="ES16" s="265"/>
      <c r="ET16" s="265"/>
      <c r="EU16" s="265"/>
      <c r="EV16" s="265"/>
      <c r="EW16" s="265"/>
      <c r="EX16" s="265"/>
      <c r="EY16" s="265"/>
      <c r="EZ16" s="265"/>
      <c r="FA16" s="265"/>
      <c r="FB16" s="265"/>
      <c r="FC16" s="265"/>
      <c r="FD16" s="265"/>
      <c r="FE16" s="265"/>
      <c r="FF16" s="265"/>
      <c r="FG16" s="265"/>
      <c r="FH16" s="265"/>
      <c r="FI16" s="265"/>
      <c r="FJ16" s="265"/>
      <c r="FK16" s="265"/>
      <c r="FL16" s="265"/>
      <c r="FM16" s="265"/>
      <c r="FN16" s="265"/>
      <c r="FO16" s="265"/>
      <c r="FP16" s="265"/>
      <c r="FQ16" s="265"/>
      <c r="FR16" s="265"/>
      <c r="FS16" s="265"/>
      <c r="FT16" s="265"/>
      <c r="FU16" s="265"/>
      <c r="FV16" s="265"/>
      <c r="FW16" s="265"/>
      <c r="FX16" s="265"/>
      <c r="FY16" s="265"/>
      <c r="FZ16" s="265"/>
      <c r="GA16" s="265"/>
      <c r="GB16" s="265"/>
      <c r="GC16" s="265"/>
      <c r="GD16" s="265"/>
      <c r="GE16" s="265"/>
      <c r="GF16" s="265"/>
      <c r="GG16" s="265"/>
      <c r="GH16" s="265"/>
      <c r="GI16" s="265"/>
      <c r="GJ16" s="265"/>
      <c r="GK16" s="265"/>
      <c r="GL16" s="265"/>
      <c r="GM16" s="265"/>
      <c r="GN16" s="265"/>
      <c r="GO16" s="265"/>
      <c r="GP16" s="265"/>
      <c r="GQ16" s="265"/>
      <c r="GR16" s="265"/>
      <c r="GS16" s="265"/>
      <c r="GT16" s="265"/>
      <c r="GU16" s="265"/>
      <c r="GV16" s="265"/>
      <c r="GW16" s="265"/>
      <c r="GX16" s="265"/>
      <c r="GY16" s="265"/>
      <c r="GZ16" s="265"/>
      <c r="HA16" s="265"/>
      <c r="HB16" s="265"/>
      <c r="HC16" s="265"/>
      <c r="HD16" s="265"/>
      <c r="HE16" s="265"/>
      <c r="HF16" s="265"/>
      <c r="HG16" s="265"/>
      <c r="HH16" s="265"/>
      <c r="HI16" s="265"/>
      <c r="HJ16" s="265"/>
      <c r="HK16" s="265"/>
      <c r="HL16" s="265"/>
      <c r="HM16" s="265"/>
      <c r="HN16" s="265"/>
      <c r="HO16" s="265"/>
      <c r="HP16" s="265"/>
      <c r="HQ16" s="265"/>
      <c r="HR16" s="265"/>
      <c r="HS16" s="265"/>
      <c r="HT16" s="265"/>
      <c r="HU16" s="265"/>
      <c r="HV16" s="265"/>
      <c r="HW16" s="265"/>
      <c r="HX16" s="265"/>
      <c r="HY16" s="265"/>
      <c r="HZ16" s="265"/>
      <c r="IA16" s="265"/>
      <c r="IB16" s="265"/>
      <c r="IC16" s="265"/>
      <c r="ID16" s="265"/>
      <c r="IE16" s="265"/>
      <c r="IF16" s="265"/>
      <c r="IG16" s="265"/>
      <c r="IH16" s="265"/>
      <c r="II16" s="265"/>
      <c r="IJ16" s="265"/>
      <c r="IK16" s="265"/>
      <c r="IL16" s="265"/>
      <c r="IM16" s="265"/>
      <c r="IN16" s="265"/>
      <c r="IO16" s="265"/>
    </row>
    <row r="17" spans="1:249" ht="81.75" customHeight="1">
      <c r="A17" s="13">
        <v>3</v>
      </c>
      <c r="B17" s="42" t="s">
        <v>1744</v>
      </c>
      <c r="C17" s="42"/>
      <c r="D17" s="42"/>
      <c r="E17" s="42"/>
      <c r="F17" s="13" t="s">
        <v>1473</v>
      </c>
      <c r="G17" s="13" t="s">
        <v>186</v>
      </c>
      <c r="H17" s="13"/>
      <c r="I17" s="21" t="s">
        <v>165</v>
      </c>
      <c r="J17" s="845"/>
      <c r="K17" s="822">
        <f>SUM(M17:O17)</f>
        <v>55000</v>
      </c>
      <c r="L17" s="822"/>
      <c r="M17" s="822"/>
      <c r="N17" s="822">
        <v>55000</v>
      </c>
      <c r="O17" s="822"/>
      <c r="P17" s="822"/>
      <c r="Q17" s="822"/>
      <c r="R17" s="822"/>
      <c r="S17" s="822"/>
      <c r="T17" s="822">
        <v>0</v>
      </c>
      <c r="U17" s="822"/>
      <c r="V17" s="822"/>
      <c r="W17" s="822"/>
      <c r="X17" s="823">
        <f>+N17-T17</f>
        <v>55000</v>
      </c>
      <c r="Y17" s="823">
        <f>+AB17</f>
        <v>15000</v>
      </c>
      <c r="Z17" s="823"/>
      <c r="AA17" s="823"/>
      <c r="AB17" s="823">
        <v>15000</v>
      </c>
      <c r="AC17" s="21" t="s">
        <v>1613</v>
      </c>
      <c r="AD17" s="265"/>
      <c r="AE17" s="265"/>
      <c r="AF17" s="265"/>
      <c r="AG17" s="265"/>
      <c r="AH17" s="265"/>
      <c r="AI17" s="265"/>
      <c r="AJ17" s="265"/>
      <c r="AK17" s="265"/>
      <c r="AL17" s="265"/>
      <c r="AM17" s="265"/>
      <c r="AN17" s="265"/>
      <c r="AO17" s="265"/>
      <c r="AP17" s="265"/>
      <c r="AQ17" s="265"/>
      <c r="AR17" s="265"/>
      <c r="AS17" s="265"/>
      <c r="AT17" s="265"/>
      <c r="AU17" s="265"/>
      <c r="AV17" s="265"/>
      <c r="AW17" s="265"/>
      <c r="AX17" s="265"/>
      <c r="AY17" s="265"/>
      <c r="AZ17" s="265"/>
      <c r="BA17" s="265"/>
      <c r="BB17" s="265"/>
      <c r="BC17" s="265"/>
      <c r="BD17" s="265"/>
      <c r="BE17" s="265"/>
      <c r="BF17" s="265"/>
      <c r="BG17" s="265"/>
      <c r="BH17" s="265"/>
      <c r="BI17" s="265"/>
      <c r="BJ17" s="265"/>
      <c r="BK17" s="265"/>
      <c r="BL17" s="265"/>
      <c r="BM17" s="265"/>
      <c r="BN17" s="265"/>
      <c r="BO17" s="265"/>
      <c r="BP17" s="265"/>
      <c r="BQ17" s="265"/>
      <c r="BR17" s="265"/>
      <c r="BS17" s="265"/>
      <c r="BT17" s="265"/>
      <c r="BU17" s="265"/>
      <c r="BV17" s="265"/>
      <c r="BW17" s="265"/>
      <c r="BX17" s="265"/>
      <c r="BY17" s="265"/>
      <c r="BZ17" s="265"/>
      <c r="CA17" s="265"/>
      <c r="CB17" s="265"/>
      <c r="CC17" s="265"/>
      <c r="CD17" s="265"/>
      <c r="CE17" s="265"/>
      <c r="CF17" s="265"/>
      <c r="CG17" s="265"/>
      <c r="CH17" s="265"/>
      <c r="CI17" s="265"/>
      <c r="CJ17" s="265"/>
      <c r="CK17" s="265"/>
      <c r="CL17" s="265"/>
      <c r="CM17" s="265"/>
      <c r="CN17" s="265"/>
      <c r="CO17" s="265"/>
      <c r="CP17" s="265"/>
      <c r="CQ17" s="265"/>
      <c r="CR17" s="265"/>
      <c r="CS17" s="265"/>
      <c r="CT17" s="265"/>
      <c r="CU17" s="265"/>
      <c r="CV17" s="265"/>
      <c r="CW17" s="265"/>
      <c r="CX17" s="265"/>
      <c r="CY17" s="265"/>
      <c r="CZ17" s="265"/>
      <c r="DA17" s="265"/>
      <c r="DB17" s="265"/>
      <c r="DC17" s="265"/>
      <c r="DD17" s="265"/>
      <c r="DE17" s="265"/>
      <c r="DF17" s="265"/>
      <c r="DG17" s="265"/>
      <c r="DH17" s="265"/>
      <c r="DI17" s="265"/>
      <c r="DJ17" s="265"/>
      <c r="DK17" s="265"/>
      <c r="DL17" s="265"/>
      <c r="DM17" s="265"/>
      <c r="DN17" s="265"/>
      <c r="DO17" s="265"/>
      <c r="DP17" s="265"/>
      <c r="DQ17" s="265"/>
      <c r="DR17" s="265"/>
      <c r="DS17" s="265"/>
      <c r="DT17" s="265"/>
      <c r="DU17" s="265"/>
      <c r="DV17" s="265"/>
      <c r="DW17" s="265"/>
      <c r="DX17" s="265"/>
      <c r="DY17" s="265"/>
      <c r="DZ17" s="265"/>
      <c r="EA17" s="265"/>
      <c r="EB17" s="265"/>
      <c r="EC17" s="265"/>
      <c r="ED17" s="265"/>
      <c r="EE17" s="265"/>
      <c r="EF17" s="265"/>
      <c r="EG17" s="265"/>
      <c r="EH17" s="265"/>
      <c r="EI17" s="265"/>
      <c r="EJ17" s="265"/>
      <c r="EK17" s="265"/>
      <c r="EL17" s="265"/>
      <c r="EM17" s="265"/>
      <c r="EN17" s="265"/>
      <c r="EO17" s="265"/>
      <c r="EP17" s="265"/>
      <c r="EQ17" s="265"/>
      <c r="ER17" s="265"/>
      <c r="ES17" s="265"/>
      <c r="ET17" s="265"/>
      <c r="EU17" s="265"/>
      <c r="EV17" s="265"/>
      <c r="EW17" s="265"/>
      <c r="EX17" s="265"/>
      <c r="EY17" s="265"/>
      <c r="EZ17" s="265"/>
      <c r="FA17" s="265"/>
      <c r="FB17" s="265"/>
      <c r="FC17" s="265"/>
      <c r="FD17" s="265"/>
      <c r="FE17" s="265"/>
      <c r="FF17" s="265"/>
      <c r="FG17" s="265"/>
      <c r="FH17" s="265"/>
      <c r="FI17" s="265"/>
      <c r="FJ17" s="265"/>
      <c r="FK17" s="265"/>
      <c r="FL17" s="265"/>
      <c r="FM17" s="265"/>
      <c r="FN17" s="265"/>
      <c r="FO17" s="265"/>
      <c r="FP17" s="265"/>
      <c r="FQ17" s="265"/>
      <c r="FR17" s="265"/>
      <c r="FS17" s="265"/>
      <c r="FT17" s="265"/>
      <c r="FU17" s="265"/>
      <c r="FV17" s="265"/>
      <c r="FW17" s="265"/>
      <c r="FX17" s="265"/>
      <c r="FY17" s="265"/>
      <c r="FZ17" s="265"/>
      <c r="GA17" s="265"/>
      <c r="GB17" s="265"/>
      <c r="GC17" s="265"/>
      <c r="GD17" s="265"/>
      <c r="GE17" s="265"/>
      <c r="GF17" s="265"/>
      <c r="GG17" s="265"/>
      <c r="GH17" s="265"/>
      <c r="GI17" s="265"/>
      <c r="GJ17" s="265"/>
      <c r="GK17" s="265"/>
      <c r="GL17" s="265"/>
      <c r="GM17" s="265"/>
      <c r="GN17" s="265"/>
      <c r="GO17" s="265"/>
      <c r="GP17" s="265"/>
      <c r="GQ17" s="265"/>
      <c r="GR17" s="265"/>
      <c r="GS17" s="265"/>
      <c r="GT17" s="265"/>
      <c r="GU17" s="265"/>
      <c r="GV17" s="265"/>
      <c r="GW17" s="265"/>
      <c r="GX17" s="265"/>
      <c r="GY17" s="265"/>
      <c r="GZ17" s="265"/>
      <c r="HA17" s="265"/>
      <c r="HB17" s="265"/>
      <c r="HC17" s="265"/>
      <c r="HD17" s="265"/>
      <c r="HE17" s="265"/>
      <c r="HF17" s="265"/>
      <c r="HG17" s="265"/>
      <c r="HH17" s="265"/>
      <c r="HI17" s="265"/>
      <c r="HJ17" s="265"/>
      <c r="HK17" s="265"/>
      <c r="HL17" s="265"/>
      <c r="HM17" s="265"/>
      <c r="HN17" s="265"/>
      <c r="HO17" s="265"/>
      <c r="HP17" s="265"/>
      <c r="HQ17" s="265"/>
      <c r="HR17" s="265"/>
      <c r="HS17" s="265"/>
      <c r="HT17" s="265"/>
      <c r="HU17" s="265"/>
      <c r="HV17" s="265"/>
      <c r="HW17" s="265"/>
      <c r="HX17" s="265"/>
      <c r="HY17" s="265"/>
      <c r="HZ17" s="265"/>
      <c r="IA17" s="265"/>
      <c r="IB17" s="265"/>
      <c r="IC17" s="265"/>
      <c r="ID17" s="265"/>
      <c r="IE17" s="265"/>
      <c r="IF17" s="265"/>
      <c r="IG17" s="265"/>
      <c r="IH17" s="265"/>
      <c r="II17" s="265"/>
      <c r="IJ17" s="265"/>
      <c r="IK17" s="265"/>
      <c r="IL17" s="265"/>
      <c r="IM17" s="265"/>
      <c r="IN17" s="265"/>
      <c r="IO17" s="265"/>
    </row>
    <row r="18" spans="1:249" ht="36.75" customHeight="1">
      <c r="A18" s="13">
        <v>4</v>
      </c>
      <c r="B18" s="891" t="s">
        <v>1876</v>
      </c>
      <c r="C18" s="42"/>
      <c r="D18" s="42"/>
      <c r="E18" s="42"/>
      <c r="F18" s="13"/>
      <c r="G18" s="13"/>
      <c r="H18" s="13"/>
      <c r="I18" s="21"/>
      <c r="J18" s="845"/>
      <c r="K18" s="822"/>
      <c r="L18" s="822"/>
      <c r="M18" s="822"/>
      <c r="N18" s="822"/>
      <c r="O18" s="822"/>
      <c r="P18" s="822"/>
      <c r="Q18" s="822"/>
      <c r="R18" s="822"/>
      <c r="S18" s="822"/>
      <c r="T18" s="822"/>
      <c r="U18" s="822"/>
      <c r="V18" s="822"/>
      <c r="W18" s="822"/>
      <c r="X18" s="823"/>
      <c r="Y18" s="823">
        <f>+AB18</f>
        <v>22000</v>
      </c>
      <c r="Z18" s="823"/>
      <c r="AA18" s="823"/>
      <c r="AB18" s="823">
        <v>22000</v>
      </c>
      <c r="AC18" s="852" t="s">
        <v>1770</v>
      </c>
      <c r="AD18" s="265"/>
      <c r="AE18" s="265"/>
      <c r="AF18" s="265"/>
      <c r="AG18" s="265"/>
      <c r="AH18" s="265"/>
      <c r="AI18" s="265"/>
      <c r="AJ18" s="265"/>
      <c r="AK18" s="265"/>
      <c r="AL18" s="265"/>
      <c r="AM18" s="265"/>
      <c r="AN18" s="265"/>
      <c r="AO18" s="265"/>
      <c r="AP18" s="265"/>
      <c r="AQ18" s="265"/>
      <c r="AR18" s="265"/>
      <c r="AS18" s="265"/>
      <c r="AT18" s="265"/>
      <c r="AU18" s="265"/>
      <c r="AV18" s="265"/>
      <c r="AW18" s="265"/>
      <c r="AX18" s="265"/>
      <c r="AY18" s="265"/>
      <c r="AZ18" s="265"/>
      <c r="BA18" s="265"/>
      <c r="BB18" s="265"/>
      <c r="BC18" s="265"/>
      <c r="BD18" s="265"/>
      <c r="BE18" s="265"/>
      <c r="BF18" s="265"/>
      <c r="BG18" s="265"/>
      <c r="BH18" s="265"/>
      <c r="BI18" s="265"/>
      <c r="BJ18" s="265"/>
      <c r="BK18" s="265"/>
      <c r="BL18" s="265"/>
      <c r="BM18" s="265"/>
      <c r="BN18" s="265"/>
      <c r="BO18" s="265"/>
      <c r="BP18" s="265"/>
      <c r="BQ18" s="265"/>
      <c r="BR18" s="265"/>
      <c r="BS18" s="265"/>
      <c r="BT18" s="265"/>
      <c r="BU18" s="265"/>
      <c r="BV18" s="265"/>
      <c r="BW18" s="265"/>
      <c r="BX18" s="265"/>
      <c r="BY18" s="265"/>
      <c r="BZ18" s="265"/>
      <c r="CA18" s="265"/>
      <c r="CB18" s="265"/>
      <c r="CC18" s="265"/>
      <c r="CD18" s="265"/>
      <c r="CE18" s="265"/>
      <c r="CF18" s="265"/>
      <c r="CG18" s="265"/>
      <c r="CH18" s="265"/>
      <c r="CI18" s="265"/>
      <c r="CJ18" s="265"/>
      <c r="CK18" s="265"/>
      <c r="CL18" s="265"/>
      <c r="CM18" s="265"/>
      <c r="CN18" s="265"/>
      <c r="CO18" s="265"/>
      <c r="CP18" s="265"/>
      <c r="CQ18" s="265"/>
      <c r="CR18" s="265"/>
      <c r="CS18" s="265"/>
      <c r="CT18" s="265"/>
      <c r="CU18" s="265"/>
      <c r="CV18" s="265"/>
      <c r="CW18" s="265"/>
      <c r="CX18" s="265"/>
      <c r="CY18" s="265"/>
      <c r="CZ18" s="265"/>
      <c r="DA18" s="265"/>
      <c r="DB18" s="265"/>
      <c r="DC18" s="265"/>
      <c r="DD18" s="265"/>
      <c r="DE18" s="265"/>
      <c r="DF18" s="265"/>
      <c r="DG18" s="265"/>
      <c r="DH18" s="265"/>
      <c r="DI18" s="265"/>
      <c r="DJ18" s="265"/>
      <c r="DK18" s="265"/>
      <c r="DL18" s="265"/>
      <c r="DM18" s="265"/>
      <c r="DN18" s="265"/>
      <c r="DO18" s="265"/>
      <c r="DP18" s="265"/>
      <c r="DQ18" s="265"/>
      <c r="DR18" s="265"/>
      <c r="DS18" s="265"/>
      <c r="DT18" s="265"/>
      <c r="DU18" s="265"/>
      <c r="DV18" s="265"/>
      <c r="DW18" s="265"/>
      <c r="DX18" s="265"/>
      <c r="DY18" s="265"/>
      <c r="DZ18" s="265"/>
      <c r="EA18" s="265"/>
      <c r="EB18" s="265"/>
      <c r="EC18" s="265"/>
      <c r="ED18" s="265"/>
      <c r="EE18" s="265"/>
      <c r="EF18" s="265"/>
      <c r="EG18" s="265"/>
      <c r="EH18" s="265"/>
      <c r="EI18" s="265"/>
      <c r="EJ18" s="265"/>
      <c r="EK18" s="265"/>
      <c r="EL18" s="265"/>
      <c r="EM18" s="265"/>
      <c r="EN18" s="265"/>
      <c r="EO18" s="265"/>
      <c r="EP18" s="265"/>
      <c r="EQ18" s="265"/>
      <c r="ER18" s="265"/>
      <c r="ES18" s="265"/>
      <c r="ET18" s="265"/>
      <c r="EU18" s="265"/>
      <c r="EV18" s="265"/>
      <c r="EW18" s="265"/>
      <c r="EX18" s="265"/>
      <c r="EY18" s="265"/>
      <c r="EZ18" s="265"/>
      <c r="FA18" s="265"/>
      <c r="FB18" s="265"/>
      <c r="FC18" s="265"/>
      <c r="FD18" s="265"/>
      <c r="FE18" s="265"/>
      <c r="FF18" s="265"/>
      <c r="FG18" s="265"/>
      <c r="FH18" s="265"/>
      <c r="FI18" s="265"/>
      <c r="FJ18" s="265"/>
      <c r="FK18" s="265"/>
      <c r="FL18" s="265"/>
      <c r="FM18" s="265"/>
      <c r="FN18" s="265"/>
      <c r="FO18" s="265"/>
      <c r="FP18" s="265"/>
      <c r="FQ18" s="265"/>
      <c r="FR18" s="265"/>
      <c r="FS18" s="265"/>
      <c r="FT18" s="265"/>
      <c r="FU18" s="265"/>
      <c r="FV18" s="265"/>
      <c r="FW18" s="265"/>
      <c r="FX18" s="265"/>
      <c r="FY18" s="265"/>
      <c r="FZ18" s="265"/>
      <c r="GA18" s="265"/>
      <c r="GB18" s="265"/>
      <c r="GC18" s="265"/>
      <c r="GD18" s="265"/>
      <c r="GE18" s="265"/>
      <c r="GF18" s="265"/>
      <c r="GG18" s="265"/>
      <c r="GH18" s="265"/>
      <c r="GI18" s="265"/>
      <c r="GJ18" s="265"/>
      <c r="GK18" s="265"/>
      <c r="GL18" s="265"/>
      <c r="GM18" s="265"/>
      <c r="GN18" s="265"/>
      <c r="GO18" s="265"/>
      <c r="GP18" s="265"/>
      <c r="GQ18" s="265"/>
      <c r="GR18" s="265"/>
      <c r="GS18" s="265"/>
      <c r="GT18" s="265"/>
      <c r="GU18" s="265"/>
      <c r="GV18" s="265"/>
      <c r="GW18" s="265"/>
      <c r="GX18" s="265"/>
      <c r="GY18" s="265"/>
      <c r="GZ18" s="265"/>
      <c r="HA18" s="265"/>
      <c r="HB18" s="265"/>
      <c r="HC18" s="265"/>
      <c r="HD18" s="265"/>
      <c r="HE18" s="265"/>
      <c r="HF18" s="265"/>
      <c r="HG18" s="265"/>
      <c r="HH18" s="265"/>
      <c r="HI18" s="265"/>
      <c r="HJ18" s="265"/>
      <c r="HK18" s="265"/>
      <c r="HL18" s="265"/>
      <c r="HM18" s="265"/>
      <c r="HN18" s="265"/>
      <c r="HO18" s="265"/>
      <c r="HP18" s="265"/>
      <c r="HQ18" s="265"/>
      <c r="HR18" s="265"/>
      <c r="HS18" s="265"/>
      <c r="HT18" s="265"/>
      <c r="HU18" s="265"/>
      <c r="HV18" s="265"/>
      <c r="HW18" s="265"/>
      <c r="HX18" s="265"/>
      <c r="HY18" s="265"/>
      <c r="HZ18" s="265"/>
      <c r="IA18" s="265"/>
      <c r="IB18" s="265"/>
      <c r="IC18" s="265"/>
      <c r="ID18" s="265"/>
      <c r="IE18" s="265"/>
      <c r="IF18" s="265"/>
      <c r="IG18" s="265"/>
      <c r="IH18" s="265"/>
      <c r="II18" s="265"/>
      <c r="IJ18" s="265"/>
      <c r="IK18" s="265"/>
      <c r="IL18" s="265"/>
      <c r="IM18" s="265"/>
      <c r="IN18" s="265"/>
      <c r="IO18" s="265"/>
    </row>
    <row r="19" spans="1:249" ht="51" customHeight="1">
      <c r="A19" s="13">
        <v>5</v>
      </c>
      <c r="B19" s="892" t="s">
        <v>1877</v>
      </c>
      <c r="C19" s="42"/>
      <c r="D19" s="42"/>
      <c r="E19" s="42"/>
      <c r="F19" s="13"/>
      <c r="G19" s="13"/>
      <c r="H19" s="13"/>
      <c r="I19" s="21"/>
      <c r="J19" s="845"/>
      <c r="K19" s="822"/>
      <c r="L19" s="822"/>
      <c r="M19" s="822"/>
      <c r="N19" s="822"/>
      <c r="O19" s="822"/>
      <c r="P19" s="822"/>
      <c r="Q19" s="822"/>
      <c r="R19" s="822"/>
      <c r="S19" s="822"/>
      <c r="T19" s="822"/>
      <c r="U19" s="822"/>
      <c r="V19" s="822"/>
      <c r="W19" s="822"/>
      <c r="X19" s="823"/>
      <c r="Y19" s="823">
        <f>+AB19</f>
        <v>22000</v>
      </c>
      <c r="Z19" s="823"/>
      <c r="AA19" s="823"/>
      <c r="AB19" s="823">
        <v>22000</v>
      </c>
      <c r="AC19" s="852" t="s">
        <v>1770</v>
      </c>
      <c r="AD19" s="265"/>
      <c r="AE19" s="265"/>
      <c r="AF19" s="265"/>
      <c r="AG19" s="265"/>
      <c r="AH19" s="265"/>
      <c r="AI19" s="265"/>
      <c r="AJ19" s="265"/>
      <c r="AK19" s="265"/>
      <c r="AL19" s="265"/>
      <c r="AM19" s="265"/>
      <c r="AN19" s="265"/>
      <c r="AO19" s="265"/>
      <c r="AP19" s="265"/>
      <c r="AQ19" s="265"/>
      <c r="AR19" s="265"/>
      <c r="AS19" s="265"/>
      <c r="AT19" s="265"/>
      <c r="AU19" s="265"/>
      <c r="AV19" s="265"/>
      <c r="AW19" s="265"/>
      <c r="AX19" s="265"/>
      <c r="AY19" s="265"/>
      <c r="AZ19" s="265"/>
      <c r="BA19" s="265"/>
      <c r="BB19" s="265"/>
      <c r="BC19" s="265"/>
      <c r="BD19" s="265"/>
      <c r="BE19" s="265"/>
      <c r="BF19" s="265"/>
      <c r="BG19" s="265"/>
      <c r="BH19" s="265"/>
      <c r="BI19" s="265"/>
      <c r="BJ19" s="265"/>
      <c r="BK19" s="265"/>
      <c r="BL19" s="265"/>
      <c r="BM19" s="265"/>
      <c r="BN19" s="265"/>
      <c r="BO19" s="265"/>
      <c r="BP19" s="265"/>
      <c r="BQ19" s="265"/>
      <c r="BR19" s="265"/>
      <c r="BS19" s="265"/>
      <c r="BT19" s="265"/>
      <c r="BU19" s="265"/>
      <c r="BV19" s="265"/>
      <c r="BW19" s="265"/>
      <c r="BX19" s="265"/>
      <c r="BY19" s="265"/>
      <c r="BZ19" s="265"/>
      <c r="CA19" s="265"/>
      <c r="CB19" s="265"/>
      <c r="CC19" s="265"/>
      <c r="CD19" s="265"/>
      <c r="CE19" s="265"/>
      <c r="CF19" s="265"/>
      <c r="CG19" s="265"/>
      <c r="CH19" s="265"/>
      <c r="CI19" s="265"/>
      <c r="CJ19" s="265"/>
      <c r="CK19" s="265"/>
      <c r="CL19" s="265"/>
      <c r="CM19" s="265"/>
      <c r="CN19" s="265"/>
      <c r="CO19" s="265"/>
      <c r="CP19" s="265"/>
      <c r="CQ19" s="265"/>
      <c r="CR19" s="265"/>
      <c r="CS19" s="265"/>
      <c r="CT19" s="265"/>
      <c r="CU19" s="265"/>
      <c r="CV19" s="265"/>
      <c r="CW19" s="265"/>
      <c r="CX19" s="265"/>
      <c r="CY19" s="265"/>
      <c r="CZ19" s="265"/>
      <c r="DA19" s="265"/>
      <c r="DB19" s="265"/>
      <c r="DC19" s="265"/>
      <c r="DD19" s="265"/>
      <c r="DE19" s="265"/>
      <c r="DF19" s="265"/>
      <c r="DG19" s="265"/>
      <c r="DH19" s="265"/>
      <c r="DI19" s="265"/>
      <c r="DJ19" s="265"/>
      <c r="DK19" s="265"/>
      <c r="DL19" s="265"/>
      <c r="DM19" s="265"/>
      <c r="DN19" s="265"/>
      <c r="DO19" s="265"/>
      <c r="DP19" s="265"/>
      <c r="DQ19" s="265"/>
      <c r="DR19" s="265"/>
      <c r="DS19" s="265"/>
      <c r="DT19" s="265"/>
      <c r="DU19" s="265"/>
      <c r="DV19" s="265"/>
      <c r="DW19" s="265"/>
      <c r="DX19" s="265"/>
      <c r="DY19" s="265"/>
      <c r="DZ19" s="265"/>
      <c r="EA19" s="265"/>
      <c r="EB19" s="265"/>
      <c r="EC19" s="265"/>
      <c r="ED19" s="265"/>
      <c r="EE19" s="265"/>
      <c r="EF19" s="265"/>
      <c r="EG19" s="265"/>
      <c r="EH19" s="265"/>
      <c r="EI19" s="265"/>
      <c r="EJ19" s="265"/>
      <c r="EK19" s="265"/>
      <c r="EL19" s="265"/>
      <c r="EM19" s="265"/>
      <c r="EN19" s="265"/>
      <c r="EO19" s="265"/>
      <c r="EP19" s="265"/>
      <c r="EQ19" s="265"/>
      <c r="ER19" s="265"/>
      <c r="ES19" s="265"/>
      <c r="ET19" s="265"/>
      <c r="EU19" s="265"/>
      <c r="EV19" s="265"/>
      <c r="EW19" s="265"/>
      <c r="EX19" s="265"/>
      <c r="EY19" s="265"/>
      <c r="EZ19" s="265"/>
      <c r="FA19" s="265"/>
      <c r="FB19" s="265"/>
      <c r="FC19" s="265"/>
      <c r="FD19" s="265"/>
      <c r="FE19" s="265"/>
      <c r="FF19" s="265"/>
      <c r="FG19" s="265"/>
      <c r="FH19" s="265"/>
      <c r="FI19" s="265"/>
      <c r="FJ19" s="265"/>
      <c r="FK19" s="265"/>
      <c r="FL19" s="265"/>
      <c r="FM19" s="265"/>
      <c r="FN19" s="265"/>
      <c r="FO19" s="265"/>
      <c r="FP19" s="265"/>
      <c r="FQ19" s="265"/>
      <c r="FR19" s="265"/>
      <c r="FS19" s="265"/>
      <c r="FT19" s="265"/>
      <c r="FU19" s="265"/>
      <c r="FV19" s="265"/>
      <c r="FW19" s="265"/>
      <c r="FX19" s="265"/>
      <c r="FY19" s="265"/>
      <c r="FZ19" s="265"/>
      <c r="GA19" s="265"/>
      <c r="GB19" s="265"/>
      <c r="GC19" s="265"/>
      <c r="GD19" s="265"/>
      <c r="GE19" s="265"/>
      <c r="GF19" s="265"/>
      <c r="GG19" s="265"/>
      <c r="GH19" s="265"/>
      <c r="GI19" s="265"/>
      <c r="GJ19" s="265"/>
      <c r="GK19" s="265"/>
      <c r="GL19" s="265"/>
      <c r="GM19" s="265"/>
      <c r="GN19" s="265"/>
      <c r="GO19" s="265"/>
      <c r="GP19" s="265"/>
      <c r="GQ19" s="265"/>
      <c r="GR19" s="265"/>
      <c r="GS19" s="265"/>
      <c r="GT19" s="265"/>
      <c r="GU19" s="265"/>
      <c r="GV19" s="265"/>
      <c r="GW19" s="265"/>
      <c r="GX19" s="265"/>
      <c r="GY19" s="265"/>
      <c r="GZ19" s="265"/>
      <c r="HA19" s="265"/>
      <c r="HB19" s="265"/>
      <c r="HC19" s="265"/>
      <c r="HD19" s="265"/>
      <c r="HE19" s="265"/>
      <c r="HF19" s="265"/>
      <c r="HG19" s="265"/>
      <c r="HH19" s="265"/>
      <c r="HI19" s="265"/>
      <c r="HJ19" s="265"/>
      <c r="HK19" s="265"/>
      <c r="HL19" s="265"/>
      <c r="HM19" s="265"/>
      <c r="HN19" s="265"/>
      <c r="HO19" s="265"/>
      <c r="HP19" s="265"/>
      <c r="HQ19" s="265"/>
      <c r="HR19" s="265"/>
      <c r="HS19" s="265"/>
      <c r="HT19" s="265"/>
      <c r="HU19" s="265"/>
      <c r="HV19" s="265"/>
      <c r="HW19" s="265"/>
      <c r="HX19" s="265"/>
      <c r="HY19" s="265"/>
      <c r="HZ19" s="265"/>
      <c r="IA19" s="265"/>
      <c r="IB19" s="265"/>
      <c r="IC19" s="265"/>
      <c r="ID19" s="265"/>
      <c r="IE19" s="265"/>
      <c r="IF19" s="265"/>
      <c r="IG19" s="265"/>
      <c r="IH19" s="265"/>
      <c r="II19" s="265"/>
      <c r="IJ19" s="265"/>
      <c r="IK19" s="265"/>
      <c r="IL19" s="265"/>
      <c r="IM19" s="265"/>
      <c r="IN19" s="265"/>
      <c r="IO19" s="265"/>
    </row>
    <row r="20" spans="1:249" customFormat="1" ht="57.75" customHeight="1">
      <c r="A20" s="846">
        <v>6</v>
      </c>
      <c r="B20" s="892" t="s">
        <v>1878</v>
      </c>
      <c r="C20" s="847"/>
      <c r="D20" s="847"/>
      <c r="E20" s="847"/>
      <c r="F20" s="846"/>
      <c r="G20" s="846"/>
      <c r="H20" s="846"/>
      <c r="I20" s="848" t="s">
        <v>288</v>
      </c>
      <c r="J20" s="849"/>
      <c r="K20" s="850"/>
      <c r="L20" s="850"/>
      <c r="M20" s="850"/>
      <c r="N20" s="850"/>
      <c r="O20" s="850"/>
      <c r="P20" s="850"/>
      <c r="Q20" s="850"/>
      <c r="R20" s="850"/>
      <c r="S20" s="850"/>
      <c r="T20" s="850"/>
      <c r="U20" s="850"/>
      <c r="V20" s="850"/>
      <c r="W20" s="850"/>
      <c r="X20" s="851"/>
      <c r="Y20" s="851">
        <f>AB20</f>
        <v>22000</v>
      </c>
      <c r="Z20" s="851"/>
      <c r="AA20" s="851"/>
      <c r="AB20" s="823">
        <v>22000</v>
      </c>
      <c r="AC20" s="852" t="s">
        <v>1770</v>
      </c>
      <c r="AD20" s="853"/>
      <c r="AE20" s="853"/>
      <c r="AF20" s="853"/>
      <c r="AG20" s="853"/>
      <c r="AH20" s="853"/>
      <c r="AI20" s="853"/>
      <c r="AJ20" s="853"/>
      <c r="AK20" s="853"/>
      <c r="AL20" s="853"/>
      <c r="AM20" s="853"/>
      <c r="AN20" s="853"/>
      <c r="AO20" s="853"/>
      <c r="AP20" s="853"/>
      <c r="AQ20" s="853"/>
      <c r="AR20" s="853"/>
      <c r="AS20" s="853"/>
      <c r="AT20" s="853"/>
      <c r="AU20" s="853"/>
      <c r="AV20" s="853"/>
      <c r="AW20" s="853"/>
      <c r="AX20" s="853"/>
      <c r="AY20" s="853"/>
      <c r="AZ20" s="853"/>
      <c r="BA20" s="853"/>
      <c r="BB20" s="853"/>
      <c r="BC20" s="853"/>
      <c r="BD20" s="853"/>
      <c r="BE20" s="853"/>
      <c r="BF20" s="853"/>
      <c r="BG20" s="853"/>
      <c r="BH20" s="853"/>
      <c r="BI20" s="853"/>
      <c r="BJ20" s="853"/>
      <c r="BK20" s="853"/>
      <c r="BL20" s="853"/>
      <c r="BM20" s="853"/>
      <c r="BN20" s="853"/>
      <c r="BO20" s="853"/>
      <c r="BP20" s="853"/>
      <c r="BQ20" s="853"/>
      <c r="BR20" s="853"/>
      <c r="BS20" s="853"/>
      <c r="BT20" s="853"/>
      <c r="BU20" s="853"/>
      <c r="BV20" s="853"/>
      <c r="BW20" s="853"/>
      <c r="BX20" s="853"/>
      <c r="BY20" s="853"/>
      <c r="BZ20" s="853"/>
      <c r="CA20" s="853"/>
      <c r="CB20" s="853"/>
      <c r="CC20" s="853"/>
      <c r="CD20" s="853"/>
      <c r="CE20" s="853"/>
      <c r="CF20" s="853"/>
      <c r="CG20" s="853"/>
      <c r="CH20" s="853"/>
      <c r="CI20" s="853"/>
      <c r="CJ20" s="853"/>
      <c r="CK20" s="853"/>
      <c r="CL20" s="853"/>
      <c r="CM20" s="853"/>
      <c r="CN20" s="853"/>
      <c r="CO20" s="853"/>
      <c r="CP20" s="853"/>
      <c r="CQ20" s="853"/>
      <c r="CR20" s="853"/>
      <c r="CS20" s="853"/>
      <c r="CT20" s="853"/>
      <c r="CU20" s="853"/>
      <c r="CV20" s="853"/>
      <c r="CW20" s="853"/>
      <c r="CX20" s="853"/>
      <c r="CY20" s="853"/>
      <c r="CZ20" s="853"/>
      <c r="DA20" s="853"/>
      <c r="DB20" s="853"/>
      <c r="DC20" s="853"/>
      <c r="DD20" s="853"/>
      <c r="DE20" s="853"/>
      <c r="DF20" s="853"/>
      <c r="DG20" s="853"/>
      <c r="DH20" s="853"/>
      <c r="DI20" s="853"/>
      <c r="DJ20" s="853"/>
      <c r="DK20" s="853"/>
      <c r="DL20" s="853"/>
      <c r="DM20" s="853"/>
      <c r="DN20" s="853"/>
      <c r="DO20" s="853"/>
      <c r="DP20" s="853"/>
      <c r="DQ20" s="853"/>
      <c r="DR20" s="853"/>
      <c r="DS20" s="853"/>
      <c r="DT20" s="853"/>
      <c r="DU20" s="853"/>
      <c r="DV20" s="853"/>
      <c r="DW20" s="853"/>
      <c r="DX20" s="853"/>
      <c r="DY20" s="853"/>
      <c r="DZ20" s="853"/>
      <c r="EA20" s="853"/>
      <c r="EB20" s="853"/>
      <c r="EC20" s="853"/>
      <c r="ED20" s="853"/>
      <c r="EE20" s="853"/>
      <c r="EF20" s="853"/>
      <c r="EG20" s="853"/>
      <c r="EH20" s="853"/>
      <c r="EI20" s="853"/>
      <c r="EJ20" s="853"/>
      <c r="EK20" s="853"/>
      <c r="EL20" s="853"/>
      <c r="EM20" s="853"/>
      <c r="EN20" s="853"/>
      <c r="EO20" s="853"/>
      <c r="EP20" s="853"/>
      <c r="EQ20" s="853"/>
      <c r="ER20" s="853"/>
      <c r="ES20" s="853"/>
      <c r="ET20" s="853"/>
      <c r="EU20" s="853"/>
      <c r="EV20" s="853"/>
      <c r="EW20" s="853"/>
      <c r="EX20" s="853"/>
      <c r="EY20" s="853"/>
      <c r="EZ20" s="853"/>
      <c r="FA20" s="853"/>
      <c r="FB20" s="853"/>
      <c r="FC20" s="853"/>
      <c r="FD20" s="853"/>
      <c r="FE20" s="853"/>
      <c r="FF20" s="853"/>
      <c r="FG20" s="853"/>
      <c r="FH20" s="853"/>
      <c r="FI20" s="853"/>
      <c r="FJ20" s="853"/>
      <c r="FK20" s="853"/>
      <c r="FL20" s="853"/>
      <c r="FM20" s="853"/>
      <c r="FN20" s="853"/>
      <c r="FO20" s="853"/>
      <c r="FP20" s="853"/>
      <c r="FQ20" s="853"/>
      <c r="FR20" s="853"/>
      <c r="FS20" s="853"/>
      <c r="FT20" s="853"/>
      <c r="FU20" s="853"/>
      <c r="FV20" s="853"/>
      <c r="FW20" s="853"/>
      <c r="FX20" s="853"/>
      <c r="FY20" s="853"/>
      <c r="FZ20" s="853"/>
      <c r="GA20" s="853"/>
      <c r="GB20" s="853"/>
      <c r="GC20" s="853"/>
      <c r="GD20" s="853"/>
      <c r="GE20" s="853"/>
      <c r="GF20" s="853"/>
      <c r="GG20" s="853"/>
      <c r="GH20" s="853"/>
      <c r="GI20" s="853"/>
      <c r="GJ20" s="853"/>
      <c r="GK20" s="853"/>
      <c r="GL20" s="853"/>
      <c r="GM20" s="853"/>
      <c r="GN20" s="853"/>
      <c r="GO20" s="853"/>
      <c r="GP20" s="853"/>
      <c r="GQ20" s="853"/>
      <c r="GR20" s="853"/>
      <c r="GS20" s="853"/>
      <c r="GT20" s="853"/>
      <c r="GU20" s="853"/>
      <c r="GV20" s="853"/>
      <c r="GW20" s="853"/>
      <c r="GX20" s="853"/>
      <c r="GY20" s="853"/>
      <c r="GZ20" s="853"/>
      <c r="HA20" s="853"/>
      <c r="HB20" s="853"/>
      <c r="HC20" s="853"/>
      <c r="HD20" s="853"/>
      <c r="HE20" s="853"/>
      <c r="HF20" s="853"/>
      <c r="HG20" s="853"/>
      <c r="HH20" s="853"/>
      <c r="HI20" s="853"/>
      <c r="HJ20" s="853"/>
      <c r="HK20" s="853"/>
      <c r="HL20" s="853"/>
      <c r="HM20" s="853"/>
      <c r="HN20" s="853"/>
      <c r="HO20" s="853"/>
      <c r="HP20" s="853"/>
      <c r="HQ20" s="853"/>
      <c r="HR20" s="853"/>
      <c r="HS20" s="853"/>
      <c r="HT20" s="853"/>
      <c r="HU20" s="853"/>
      <c r="HV20" s="853"/>
      <c r="HW20" s="853"/>
      <c r="HX20" s="853"/>
      <c r="HY20" s="853"/>
      <c r="HZ20" s="853"/>
      <c r="IA20" s="853"/>
      <c r="IB20" s="853"/>
      <c r="IC20" s="853"/>
      <c r="ID20" s="853"/>
      <c r="IE20" s="853"/>
      <c r="IF20" s="853"/>
      <c r="IG20" s="853"/>
      <c r="IH20" s="853"/>
      <c r="II20" s="853"/>
      <c r="IJ20" s="853"/>
      <c r="IK20" s="853"/>
      <c r="IL20" s="853"/>
      <c r="IM20" s="853"/>
      <c r="IN20" s="853"/>
      <c r="IO20" s="853"/>
    </row>
    <row r="21" spans="1:249" s="266" customFormat="1" ht="30" customHeight="1">
      <c r="A21" s="320" t="s">
        <v>42</v>
      </c>
      <c r="B21" s="312" t="s">
        <v>1745</v>
      </c>
      <c r="C21" s="312"/>
      <c r="D21" s="312"/>
      <c r="E21" s="312"/>
      <c r="F21" s="320"/>
      <c r="G21" s="320"/>
      <c r="H21" s="320"/>
      <c r="I21" s="304"/>
      <c r="J21" s="838"/>
      <c r="K21" s="824">
        <f>K22</f>
        <v>50000</v>
      </c>
      <c r="L21" s="824">
        <f t="shared" ref="L21:AB21" si="5">L22</f>
        <v>0</v>
      </c>
      <c r="M21" s="824">
        <f t="shared" si="5"/>
        <v>0</v>
      </c>
      <c r="N21" s="824">
        <f t="shared" si="5"/>
        <v>50000</v>
      </c>
      <c r="O21" s="824">
        <f t="shared" si="5"/>
        <v>0</v>
      </c>
      <c r="P21" s="824">
        <f t="shared" si="5"/>
        <v>0</v>
      </c>
      <c r="Q21" s="824">
        <f t="shared" si="5"/>
        <v>0</v>
      </c>
      <c r="R21" s="824">
        <f t="shared" si="5"/>
        <v>0</v>
      </c>
      <c r="S21" s="824">
        <f t="shared" si="5"/>
        <v>0</v>
      </c>
      <c r="T21" s="824">
        <f t="shared" si="5"/>
        <v>0</v>
      </c>
      <c r="U21" s="824">
        <f t="shared" si="5"/>
        <v>0</v>
      </c>
      <c r="V21" s="824">
        <f t="shared" si="5"/>
        <v>0</v>
      </c>
      <c r="W21" s="824">
        <f t="shared" si="5"/>
        <v>0</v>
      </c>
      <c r="X21" s="824">
        <f t="shared" si="5"/>
        <v>50000</v>
      </c>
      <c r="Y21" s="824">
        <f t="shared" si="5"/>
        <v>10000</v>
      </c>
      <c r="Z21" s="824">
        <f t="shared" si="5"/>
        <v>0</v>
      </c>
      <c r="AA21" s="824">
        <f t="shared" si="5"/>
        <v>0</v>
      </c>
      <c r="AB21" s="824">
        <f t="shared" si="5"/>
        <v>10000</v>
      </c>
      <c r="AC21" s="304"/>
      <c r="AD21" s="265"/>
      <c r="AE21" s="265"/>
      <c r="AF21" s="265"/>
      <c r="AG21" s="265"/>
      <c r="AH21" s="265"/>
      <c r="AI21" s="265"/>
      <c r="AJ21" s="265"/>
      <c r="AK21" s="265"/>
      <c r="AL21" s="265"/>
      <c r="AM21" s="265"/>
      <c r="AN21" s="265"/>
      <c r="AO21" s="265"/>
      <c r="AP21" s="265"/>
      <c r="AQ21" s="265"/>
      <c r="AR21" s="265"/>
      <c r="AS21" s="265"/>
      <c r="AT21" s="265"/>
      <c r="AU21" s="265"/>
      <c r="AV21" s="265"/>
      <c r="AW21" s="265"/>
      <c r="AX21" s="265"/>
      <c r="AY21" s="265"/>
      <c r="AZ21" s="265"/>
      <c r="BA21" s="265"/>
      <c r="BB21" s="265"/>
      <c r="BC21" s="265"/>
      <c r="BD21" s="265"/>
      <c r="BE21" s="265"/>
      <c r="BF21" s="265"/>
      <c r="BG21" s="265"/>
      <c r="BH21" s="265"/>
      <c r="BI21" s="265"/>
      <c r="BJ21" s="265"/>
      <c r="BK21" s="265"/>
      <c r="BL21" s="265"/>
      <c r="BM21" s="265"/>
      <c r="BN21" s="265"/>
      <c r="BO21" s="265"/>
      <c r="BP21" s="265"/>
      <c r="BQ21" s="265"/>
      <c r="BR21" s="265"/>
      <c r="BS21" s="265"/>
      <c r="BT21" s="265"/>
      <c r="BU21" s="265"/>
      <c r="BV21" s="265"/>
      <c r="BW21" s="265"/>
      <c r="BX21" s="265"/>
      <c r="BY21" s="265"/>
      <c r="BZ21" s="265"/>
      <c r="CA21" s="265"/>
      <c r="CB21" s="265"/>
      <c r="CC21" s="265"/>
      <c r="CD21" s="265"/>
      <c r="CE21" s="265"/>
      <c r="CF21" s="265"/>
      <c r="CG21" s="265"/>
      <c r="CH21" s="265"/>
      <c r="CI21" s="265"/>
      <c r="CJ21" s="265"/>
      <c r="CK21" s="265"/>
      <c r="CL21" s="265"/>
      <c r="CM21" s="265"/>
      <c r="CN21" s="265"/>
      <c r="CO21" s="265"/>
      <c r="CP21" s="265"/>
      <c r="CQ21" s="265"/>
      <c r="CR21" s="265"/>
      <c r="CS21" s="265"/>
      <c r="CT21" s="265"/>
      <c r="CU21" s="265"/>
      <c r="CV21" s="265"/>
      <c r="CW21" s="265"/>
      <c r="CX21" s="265"/>
      <c r="CY21" s="265"/>
      <c r="CZ21" s="265"/>
      <c r="DA21" s="265"/>
      <c r="DB21" s="265"/>
      <c r="DC21" s="265"/>
      <c r="DD21" s="265"/>
      <c r="DE21" s="265"/>
      <c r="DF21" s="265"/>
      <c r="DG21" s="265"/>
      <c r="DH21" s="265"/>
      <c r="DI21" s="265"/>
      <c r="DJ21" s="265"/>
      <c r="DK21" s="265"/>
      <c r="DL21" s="265"/>
      <c r="DM21" s="265"/>
      <c r="DN21" s="265"/>
      <c r="DO21" s="265"/>
      <c r="DP21" s="265"/>
      <c r="DQ21" s="265"/>
      <c r="DR21" s="265"/>
      <c r="DS21" s="265"/>
      <c r="DT21" s="265"/>
      <c r="DU21" s="265"/>
      <c r="DV21" s="265"/>
      <c r="DW21" s="265"/>
      <c r="DX21" s="265"/>
      <c r="DY21" s="265"/>
      <c r="DZ21" s="265"/>
      <c r="EA21" s="265"/>
      <c r="EB21" s="265"/>
      <c r="EC21" s="265"/>
      <c r="ED21" s="265"/>
      <c r="EE21" s="265"/>
      <c r="EF21" s="265"/>
      <c r="EG21" s="265"/>
      <c r="EH21" s="265"/>
      <c r="EI21" s="265"/>
      <c r="EJ21" s="265"/>
      <c r="EK21" s="265"/>
      <c r="EL21" s="265"/>
      <c r="EM21" s="265"/>
      <c r="EN21" s="265"/>
      <c r="EO21" s="265"/>
      <c r="EP21" s="265"/>
      <c r="EQ21" s="265"/>
      <c r="ER21" s="265"/>
      <c r="ES21" s="265"/>
      <c r="ET21" s="265"/>
      <c r="EU21" s="265"/>
      <c r="EV21" s="265"/>
      <c r="EW21" s="265"/>
      <c r="EX21" s="265"/>
      <c r="EY21" s="265"/>
      <c r="EZ21" s="265"/>
      <c r="FA21" s="265"/>
      <c r="FB21" s="265"/>
      <c r="FC21" s="265"/>
      <c r="FD21" s="265"/>
      <c r="FE21" s="265"/>
      <c r="FF21" s="265"/>
      <c r="FG21" s="265"/>
      <c r="FH21" s="265"/>
      <c r="FI21" s="265"/>
      <c r="FJ21" s="265"/>
      <c r="FK21" s="265"/>
      <c r="FL21" s="265"/>
      <c r="FM21" s="265"/>
      <c r="FN21" s="265"/>
      <c r="FO21" s="265"/>
      <c r="FP21" s="265"/>
      <c r="FQ21" s="265"/>
      <c r="FR21" s="265"/>
      <c r="FS21" s="265"/>
      <c r="FT21" s="265"/>
      <c r="FU21" s="265"/>
      <c r="FV21" s="265"/>
      <c r="FW21" s="265"/>
      <c r="FX21" s="265"/>
      <c r="FY21" s="265"/>
      <c r="FZ21" s="265"/>
      <c r="GA21" s="265"/>
      <c r="GB21" s="265"/>
      <c r="GC21" s="265"/>
      <c r="GD21" s="265"/>
      <c r="GE21" s="265"/>
      <c r="GF21" s="265"/>
      <c r="GG21" s="265"/>
      <c r="GH21" s="265"/>
      <c r="GI21" s="265"/>
      <c r="GJ21" s="265"/>
      <c r="GK21" s="265"/>
      <c r="GL21" s="265"/>
      <c r="GM21" s="265"/>
      <c r="GN21" s="265"/>
      <c r="GO21" s="265"/>
      <c r="GP21" s="265"/>
      <c r="GQ21" s="265"/>
      <c r="GR21" s="265"/>
      <c r="GS21" s="265"/>
      <c r="GT21" s="265"/>
      <c r="GU21" s="265"/>
      <c r="GV21" s="265"/>
      <c r="GW21" s="265"/>
      <c r="GX21" s="265"/>
      <c r="GY21" s="265"/>
      <c r="GZ21" s="265"/>
      <c r="HA21" s="265"/>
      <c r="HB21" s="265"/>
      <c r="HC21" s="265"/>
      <c r="HD21" s="265"/>
      <c r="HE21" s="265"/>
      <c r="HF21" s="265"/>
      <c r="HG21" s="265"/>
      <c r="HH21" s="265"/>
      <c r="HI21" s="265"/>
      <c r="HJ21" s="265"/>
      <c r="HK21" s="265"/>
      <c r="HL21" s="265"/>
      <c r="HM21" s="265"/>
      <c r="HN21" s="265"/>
      <c r="HO21" s="265"/>
      <c r="HP21" s="265"/>
      <c r="HQ21" s="265"/>
      <c r="HR21" s="265"/>
      <c r="HS21" s="265"/>
      <c r="HT21" s="265"/>
      <c r="HU21" s="265"/>
      <c r="HV21" s="265"/>
      <c r="HW21" s="265"/>
      <c r="HX21" s="265"/>
      <c r="HY21" s="265"/>
      <c r="HZ21" s="265"/>
      <c r="IA21" s="265"/>
      <c r="IB21" s="265"/>
      <c r="IC21" s="265"/>
      <c r="ID21" s="265"/>
      <c r="IE21" s="265"/>
      <c r="IF21" s="265"/>
      <c r="IG21" s="265"/>
      <c r="IH21" s="265"/>
      <c r="II21" s="265"/>
      <c r="IJ21" s="265"/>
      <c r="IK21" s="265"/>
      <c r="IL21" s="265"/>
      <c r="IM21" s="265"/>
      <c r="IN21" s="265"/>
      <c r="IO21" s="265"/>
    </row>
    <row r="22" spans="1:249" ht="46.5" customHeight="1">
      <c r="A22" s="13">
        <v>1</v>
      </c>
      <c r="B22" s="42" t="s">
        <v>1746</v>
      </c>
      <c r="C22" s="42"/>
      <c r="D22" s="42"/>
      <c r="E22" s="42"/>
      <c r="F22" s="13" t="s">
        <v>1747</v>
      </c>
      <c r="G22" s="13" t="s">
        <v>1748</v>
      </c>
      <c r="H22" s="13"/>
      <c r="I22" s="21" t="s">
        <v>288</v>
      </c>
      <c r="J22" s="845"/>
      <c r="K22" s="822">
        <f>SUM(M22:O22)</f>
        <v>50000</v>
      </c>
      <c r="L22" s="822"/>
      <c r="M22" s="822"/>
      <c r="N22" s="822">
        <v>50000</v>
      </c>
      <c r="O22" s="822"/>
      <c r="P22" s="822"/>
      <c r="Q22" s="822"/>
      <c r="R22" s="822"/>
      <c r="S22" s="822"/>
      <c r="T22" s="822"/>
      <c r="U22" s="822"/>
      <c r="V22" s="822"/>
      <c r="W22" s="822"/>
      <c r="X22" s="822">
        <f>+N22-T22</f>
        <v>50000</v>
      </c>
      <c r="Y22" s="822">
        <f>+Z22+AA22+AB22</f>
        <v>10000</v>
      </c>
      <c r="Z22" s="822"/>
      <c r="AA22" s="822"/>
      <c r="AB22" s="822">
        <v>10000</v>
      </c>
      <c r="AC22" s="21" t="s">
        <v>1749</v>
      </c>
      <c r="AD22" s="265"/>
      <c r="AE22" s="265"/>
      <c r="AF22" s="265"/>
      <c r="AG22" s="265"/>
      <c r="AH22" s="265"/>
      <c r="AI22" s="265"/>
      <c r="AJ22" s="265"/>
      <c r="AK22" s="265"/>
      <c r="AL22" s="265"/>
      <c r="AM22" s="265"/>
      <c r="AN22" s="265"/>
      <c r="AO22" s="265"/>
      <c r="AP22" s="265"/>
      <c r="AQ22" s="265"/>
      <c r="AR22" s="265"/>
      <c r="AS22" s="265"/>
      <c r="AT22" s="265"/>
      <c r="AU22" s="265"/>
      <c r="AV22" s="265"/>
      <c r="AW22" s="265"/>
      <c r="AX22" s="265"/>
      <c r="AY22" s="265"/>
      <c r="AZ22" s="265"/>
      <c r="BA22" s="265"/>
      <c r="BB22" s="265"/>
      <c r="BC22" s="265"/>
      <c r="BD22" s="265"/>
      <c r="BE22" s="265"/>
      <c r="BF22" s="265"/>
      <c r="BG22" s="265"/>
      <c r="BH22" s="265"/>
      <c r="BI22" s="265"/>
      <c r="BJ22" s="265"/>
      <c r="BK22" s="265"/>
      <c r="BL22" s="265"/>
      <c r="BM22" s="265"/>
      <c r="BN22" s="265"/>
      <c r="BO22" s="265"/>
      <c r="BP22" s="265"/>
      <c r="BQ22" s="265"/>
      <c r="BR22" s="265"/>
      <c r="BS22" s="265"/>
      <c r="BT22" s="265"/>
      <c r="BU22" s="265"/>
      <c r="BV22" s="265"/>
      <c r="BW22" s="265"/>
      <c r="BX22" s="265"/>
      <c r="BY22" s="265"/>
      <c r="BZ22" s="265"/>
      <c r="CA22" s="265"/>
      <c r="CB22" s="265"/>
      <c r="CC22" s="265"/>
      <c r="CD22" s="265"/>
      <c r="CE22" s="265"/>
      <c r="CF22" s="265"/>
      <c r="CG22" s="265"/>
      <c r="CH22" s="265"/>
      <c r="CI22" s="265"/>
      <c r="CJ22" s="265"/>
      <c r="CK22" s="265"/>
      <c r="CL22" s="265"/>
      <c r="CM22" s="265"/>
      <c r="CN22" s="265"/>
      <c r="CO22" s="265"/>
      <c r="CP22" s="265"/>
      <c r="CQ22" s="265"/>
      <c r="CR22" s="265"/>
      <c r="CS22" s="265"/>
      <c r="CT22" s="265"/>
      <c r="CU22" s="265"/>
      <c r="CV22" s="265"/>
      <c r="CW22" s="265"/>
      <c r="CX22" s="265"/>
      <c r="CY22" s="265"/>
      <c r="CZ22" s="265"/>
      <c r="DA22" s="265"/>
      <c r="DB22" s="265"/>
      <c r="DC22" s="265"/>
      <c r="DD22" s="265"/>
      <c r="DE22" s="265"/>
      <c r="DF22" s="265"/>
      <c r="DG22" s="265"/>
      <c r="DH22" s="265"/>
      <c r="DI22" s="265"/>
      <c r="DJ22" s="265"/>
      <c r="DK22" s="265"/>
      <c r="DL22" s="265"/>
      <c r="DM22" s="265"/>
      <c r="DN22" s="265"/>
      <c r="DO22" s="265"/>
      <c r="DP22" s="265"/>
      <c r="DQ22" s="265"/>
      <c r="DR22" s="265"/>
      <c r="DS22" s="265"/>
      <c r="DT22" s="265"/>
      <c r="DU22" s="265"/>
      <c r="DV22" s="265"/>
      <c r="DW22" s="265"/>
      <c r="DX22" s="265"/>
      <c r="DY22" s="265"/>
      <c r="DZ22" s="265"/>
      <c r="EA22" s="265"/>
      <c r="EB22" s="265"/>
      <c r="EC22" s="265"/>
      <c r="ED22" s="265"/>
      <c r="EE22" s="265"/>
      <c r="EF22" s="265"/>
      <c r="EG22" s="265"/>
      <c r="EH22" s="265"/>
      <c r="EI22" s="265"/>
      <c r="EJ22" s="265"/>
      <c r="EK22" s="265"/>
      <c r="EL22" s="265"/>
      <c r="EM22" s="265"/>
      <c r="EN22" s="265"/>
      <c r="EO22" s="265"/>
      <c r="EP22" s="265"/>
      <c r="EQ22" s="265"/>
      <c r="ER22" s="265"/>
      <c r="ES22" s="265"/>
      <c r="ET22" s="265"/>
      <c r="EU22" s="265"/>
      <c r="EV22" s="265"/>
      <c r="EW22" s="265"/>
      <c r="EX22" s="265"/>
      <c r="EY22" s="265"/>
      <c r="EZ22" s="265"/>
      <c r="FA22" s="265"/>
      <c r="FB22" s="265"/>
      <c r="FC22" s="265"/>
      <c r="FD22" s="265"/>
      <c r="FE22" s="265"/>
      <c r="FF22" s="265"/>
      <c r="FG22" s="265"/>
      <c r="FH22" s="265"/>
      <c r="FI22" s="265"/>
      <c r="FJ22" s="265"/>
      <c r="FK22" s="265"/>
      <c r="FL22" s="265"/>
      <c r="FM22" s="265"/>
      <c r="FN22" s="265"/>
      <c r="FO22" s="265"/>
      <c r="FP22" s="265"/>
      <c r="FQ22" s="265"/>
      <c r="FR22" s="265"/>
      <c r="FS22" s="265"/>
      <c r="FT22" s="265"/>
      <c r="FU22" s="265"/>
      <c r="FV22" s="265"/>
      <c r="FW22" s="265"/>
      <c r="FX22" s="265"/>
      <c r="FY22" s="265"/>
      <c r="FZ22" s="265"/>
      <c r="GA22" s="265"/>
      <c r="GB22" s="265"/>
      <c r="GC22" s="265"/>
      <c r="GD22" s="265"/>
      <c r="GE22" s="265"/>
      <c r="GF22" s="265"/>
      <c r="GG22" s="265"/>
      <c r="GH22" s="265"/>
      <c r="GI22" s="265"/>
      <c r="GJ22" s="265"/>
      <c r="GK22" s="265"/>
      <c r="GL22" s="265"/>
      <c r="GM22" s="265"/>
      <c r="GN22" s="265"/>
      <c r="GO22" s="265"/>
      <c r="GP22" s="265"/>
      <c r="GQ22" s="265"/>
      <c r="GR22" s="265"/>
      <c r="GS22" s="265"/>
      <c r="GT22" s="265"/>
      <c r="GU22" s="265"/>
      <c r="GV22" s="265"/>
      <c r="GW22" s="265"/>
      <c r="GX22" s="265"/>
      <c r="GY22" s="265"/>
      <c r="GZ22" s="265"/>
      <c r="HA22" s="265"/>
      <c r="HB22" s="265"/>
      <c r="HC22" s="265"/>
      <c r="HD22" s="265"/>
      <c r="HE22" s="265"/>
      <c r="HF22" s="265"/>
      <c r="HG22" s="265"/>
      <c r="HH22" s="265"/>
      <c r="HI22" s="265"/>
      <c r="HJ22" s="265"/>
      <c r="HK22" s="265"/>
      <c r="HL22" s="265"/>
      <c r="HM22" s="265"/>
      <c r="HN22" s="265"/>
      <c r="HO22" s="265"/>
      <c r="HP22" s="265"/>
      <c r="HQ22" s="265"/>
      <c r="HR22" s="265"/>
      <c r="HS22" s="265"/>
      <c r="HT22" s="265"/>
      <c r="HU22" s="265"/>
      <c r="HV22" s="265"/>
      <c r="HW22" s="265"/>
      <c r="HX22" s="265"/>
      <c r="HY22" s="265"/>
      <c r="HZ22" s="265"/>
      <c r="IA22" s="265"/>
      <c r="IB22" s="265"/>
      <c r="IC22" s="265"/>
      <c r="ID22" s="265"/>
      <c r="IE22" s="265"/>
      <c r="IF22" s="265"/>
      <c r="IG22" s="265"/>
      <c r="IH22" s="265"/>
      <c r="II22" s="265"/>
      <c r="IJ22" s="265"/>
      <c r="IK22" s="265"/>
      <c r="IL22" s="265"/>
      <c r="IM22" s="265"/>
      <c r="IN22" s="265"/>
      <c r="IO22" s="265"/>
    </row>
    <row r="23" spans="1:249" s="266" customFormat="1" ht="30.75" customHeight="1">
      <c r="A23" s="320" t="s">
        <v>43</v>
      </c>
      <c r="B23" s="312" t="s">
        <v>1750</v>
      </c>
      <c r="C23" s="312"/>
      <c r="D23" s="312"/>
      <c r="E23" s="312"/>
      <c r="F23" s="320"/>
      <c r="G23" s="320"/>
      <c r="H23" s="320"/>
      <c r="I23" s="304"/>
      <c r="J23" s="838"/>
      <c r="K23" s="824">
        <f>SUM(K24:K25)</f>
        <v>43500</v>
      </c>
      <c r="L23" s="824">
        <f t="shared" ref="L23:AB23" si="6">SUM(L24:L25)</f>
        <v>0</v>
      </c>
      <c r="M23" s="824">
        <f t="shared" si="6"/>
        <v>0</v>
      </c>
      <c r="N23" s="824">
        <f t="shared" si="6"/>
        <v>43500</v>
      </c>
      <c r="O23" s="824">
        <f t="shared" si="6"/>
        <v>0</v>
      </c>
      <c r="P23" s="824">
        <f t="shared" si="6"/>
        <v>700</v>
      </c>
      <c r="Q23" s="824">
        <f t="shared" si="6"/>
        <v>0</v>
      </c>
      <c r="R23" s="824">
        <f t="shared" si="6"/>
        <v>0</v>
      </c>
      <c r="S23" s="824">
        <f t="shared" si="6"/>
        <v>700</v>
      </c>
      <c r="T23" s="824">
        <f t="shared" si="6"/>
        <v>700</v>
      </c>
      <c r="U23" s="824">
        <f t="shared" si="6"/>
        <v>0</v>
      </c>
      <c r="V23" s="824">
        <f t="shared" si="6"/>
        <v>0</v>
      </c>
      <c r="W23" s="824">
        <f t="shared" si="6"/>
        <v>700</v>
      </c>
      <c r="X23" s="824">
        <f t="shared" si="6"/>
        <v>42800</v>
      </c>
      <c r="Y23" s="824">
        <f t="shared" si="6"/>
        <v>20000</v>
      </c>
      <c r="Z23" s="824">
        <f t="shared" si="6"/>
        <v>0</v>
      </c>
      <c r="AA23" s="824">
        <f t="shared" si="6"/>
        <v>0</v>
      </c>
      <c r="AB23" s="824">
        <f t="shared" si="6"/>
        <v>20000</v>
      </c>
      <c r="AC23" s="304"/>
      <c r="AD23" s="265"/>
      <c r="AE23" s="265"/>
      <c r="AF23" s="265"/>
      <c r="AG23" s="265"/>
      <c r="AH23" s="265"/>
      <c r="AI23" s="265"/>
      <c r="AJ23" s="265"/>
      <c r="AK23" s="265"/>
      <c r="AL23" s="265"/>
      <c r="AM23" s="265"/>
      <c r="AN23" s="265"/>
      <c r="AO23" s="265"/>
      <c r="AP23" s="265"/>
      <c r="AQ23" s="265"/>
      <c r="AR23" s="265"/>
      <c r="AS23" s="265"/>
      <c r="AT23" s="265"/>
      <c r="AU23" s="265"/>
      <c r="AV23" s="265"/>
      <c r="AW23" s="265"/>
      <c r="AX23" s="265"/>
      <c r="AY23" s="265"/>
      <c r="AZ23" s="265"/>
      <c r="BA23" s="265"/>
      <c r="BB23" s="265"/>
      <c r="BC23" s="265"/>
      <c r="BD23" s="265"/>
      <c r="BE23" s="265"/>
      <c r="BF23" s="265"/>
      <c r="BG23" s="265"/>
      <c r="BH23" s="265"/>
      <c r="BI23" s="265"/>
      <c r="BJ23" s="265"/>
      <c r="BK23" s="265"/>
      <c r="BL23" s="265"/>
      <c r="BM23" s="265"/>
      <c r="BN23" s="265"/>
      <c r="BO23" s="265"/>
      <c r="BP23" s="265"/>
      <c r="BQ23" s="265"/>
      <c r="BR23" s="265"/>
      <c r="BS23" s="265"/>
      <c r="BT23" s="265"/>
      <c r="BU23" s="265"/>
      <c r="BV23" s="265"/>
      <c r="BW23" s="265"/>
      <c r="BX23" s="265"/>
      <c r="BY23" s="265"/>
      <c r="BZ23" s="265"/>
      <c r="CA23" s="265"/>
      <c r="CB23" s="265"/>
      <c r="CC23" s="265"/>
      <c r="CD23" s="265"/>
      <c r="CE23" s="265"/>
      <c r="CF23" s="265"/>
      <c r="CG23" s="265"/>
      <c r="CH23" s="265"/>
      <c r="CI23" s="265"/>
      <c r="CJ23" s="265"/>
      <c r="CK23" s="265"/>
      <c r="CL23" s="265"/>
      <c r="CM23" s="265"/>
      <c r="CN23" s="265"/>
      <c r="CO23" s="265"/>
      <c r="CP23" s="265"/>
      <c r="CQ23" s="265"/>
      <c r="CR23" s="265"/>
      <c r="CS23" s="265"/>
      <c r="CT23" s="265"/>
      <c r="CU23" s="265"/>
      <c r="CV23" s="265"/>
      <c r="CW23" s="265"/>
      <c r="CX23" s="265"/>
      <c r="CY23" s="265"/>
      <c r="CZ23" s="265"/>
      <c r="DA23" s="265"/>
      <c r="DB23" s="265"/>
      <c r="DC23" s="265"/>
      <c r="DD23" s="265"/>
      <c r="DE23" s="265"/>
      <c r="DF23" s="265"/>
      <c r="DG23" s="265"/>
      <c r="DH23" s="265"/>
      <c r="DI23" s="265"/>
      <c r="DJ23" s="265"/>
      <c r="DK23" s="265"/>
      <c r="DL23" s="265"/>
      <c r="DM23" s="265"/>
      <c r="DN23" s="265"/>
      <c r="DO23" s="265"/>
      <c r="DP23" s="265"/>
      <c r="DQ23" s="265"/>
      <c r="DR23" s="265"/>
      <c r="DS23" s="265"/>
      <c r="DT23" s="265"/>
      <c r="DU23" s="265"/>
      <c r="DV23" s="265"/>
      <c r="DW23" s="265"/>
      <c r="DX23" s="265"/>
      <c r="DY23" s="265"/>
      <c r="DZ23" s="265"/>
      <c r="EA23" s="265"/>
      <c r="EB23" s="265"/>
      <c r="EC23" s="265"/>
      <c r="ED23" s="265"/>
      <c r="EE23" s="265"/>
      <c r="EF23" s="265"/>
      <c r="EG23" s="265"/>
      <c r="EH23" s="265"/>
      <c r="EI23" s="265"/>
      <c r="EJ23" s="265"/>
      <c r="EK23" s="265"/>
      <c r="EL23" s="265"/>
      <c r="EM23" s="265"/>
      <c r="EN23" s="265"/>
      <c r="EO23" s="265"/>
      <c r="EP23" s="265"/>
      <c r="EQ23" s="265"/>
      <c r="ER23" s="265"/>
      <c r="ES23" s="265"/>
      <c r="ET23" s="265"/>
      <c r="EU23" s="265"/>
      <c r="EV23" s="265"/>
      <c r="EW23" s="265"/>
      <c r="EX23" s="265"/>
      <c r="EY23" s="265"/>
      <c r="EZ23" s="265"/>
      <c r="FA23" s="265"/>
      <c r="FB23" s="265"/>
      <c r="FC23" s="265"/>
      <c r="FD23" s="265"/>
      <c r="FE23" s="265"/>
      <c r="FF23" s="265"/>
      <c r="FG23" s="265"/>
      <c r="FH23" s="265"/>
      <c r="FI23" s="265"/>
      <c r="FJ23" s="265"/>
      <c r="FK23" s="265"/>
      <c r="FL23" s="265"/>
      <c r="FM23" s="265"/>
      <c r="FN23" s="265"/>
      <c r="FO23" s="265"/>
      <c r="FP23" s="265"/>
      <c r="FQ23" s="265"/>
      <c r="FR23" s="265"/>
      <c r="FS23" s="265"/>
      <c r="FT23" s="265"/>
      <c r="FU23" s="265"/>
      <c r="FV23" s="265"/>
      <c r="FW23" s="265"/>
      <c r="FX23" s="265"/>
      <c r="FY23" s="265"/>
      <c r="FZ23" s="265"/>
      <c r="GA23" s="265"/>
      <c r="GB23" s="265"/>
      <c r="GC23" s="265"/>
      <c r="GD23" s="265"/>
      <c r="GE23" s="265"/>
      <c r="GF23" s="265"/>
      <c r="GG23" s="265"/>
      <c r="GH23" s="265"/>
      <c r="GI23" s="265"/>
      <c r="GJ23" s="265"/>
      <c r="GK23" s="265"/>
      <c r="GL23" s="265"/>
      <c r="GM23" s="265"/>
      <c r="GN23" s="265"/>
      <c r="GO23" s="265"/>
      <c r="GP23" s="265"/>
      <c r="GQ23" s="265"/>
      <c r="GR23" s="265"/>
      <c r="GS23" s="265"/>
      <c r="GT23" s="265"/>
      <c r="GU23" s="265"/>
      <c r="GV23" s="265"/>
      <c r="GW23" s="265"/>
      <c r="GX23" s="265"/>
      <c r="GY23" s="265"/>
      <c r="GZ23" s="265"/>
      <c r="HA23" s="265"/>
      <c r="HB23" s="265"/>
      <c r="HC23" s="265"/>
      <c r="HD23" s="265"/>
      <c r="HE23" s="265"/>
      <c r="HF23" s="265"/>
      <c r="HG23" s="265"/>
      <c r="HH23" s="265"/>
      <c r="HI23" s="265"/>
      <c r="HJ23" s="265"/>
      <c r="HK23" s="265"/>
      <c r="HL23" s="265"/>
      <c r="HM23" s="265"/>
      <c r="HN23" s="265"/>
      <c r="HO23" s="265"/>
      <c r="HP23" s="265"/>
      <c r="HQ23" s="265"/>
      <c r="HR23" s="265"/>
      <c r="HS23" s="265"/>
      <c r="HT23" s="265"/>
      <c r="HU23" s="265"/>
      <c r="HV23" s="265"/>
      <c r="HW23" s="265"/>
      <c r="HX23" s="265"/>
      <c r="HY23" s="265"/>
      <c r="HZ23" s="265"/>
      <c r="IA23" s="265"/>
      <c r="IB23" s="265"/>
      <c r="IC23" s="265"/>
      <c r="ID23" s="265"/>
      <c r="IE23" s="265"/>
      <c r="IF23" s="265"/>
      <c r="IG23" s="265"/>
      <c r="IH23" s="265"/>
      <c r="II23" s="265"/>
      <c r="IJ23" s="265"/>
      <c r="IK23" s="265"/>
      <c r="IL23" s="265"/>
      <c r="IM23" s="265"/>
      <c r="IN23" s="265"/>
      <c r="IO23" s="265"/>
    </row>
    <row r="24" spans="1:249" ht="105">
      <c r="A24" s="13">
        <v>1</v>
      </c>
      <c r="B24" s="15" t="s">
        <v>1610</v>
      </c>
      <c r="C24" s="27"/>
      <c r="D24" s="13"/>
      <c r="E24" s="13"/>
      <c r="F24" s="13" t="s">
        <v>1611</v>
      </c>
      <c r="G24" s="13" t="s">
        <v>186</v>
      </c>
      <c r="H24" s="13"/>
      <c r="I24" s="21" t="s">
        <v>411</v>
      </c>
      <c r="J24" s="845" t="s">
        <v>1751</v>
      </c>
      <c r="K24" s="818">
        <v>8500</v>
      </c>
      <c r="L24" s="818"/>
      <c r="M24" s="818"/>
      <c r="N24" s="818">
        <v>8500</v>
      </c>
      <c r="O24" s="818"/>
      <c r="P24" s="818">
        <v>500</v>
      </c>
      <c r="Q24" s="818"/>
      <c r="R24" s="818"/>
      <c r="S24" s="818">
        <v>500</v>
      </c>
      <c r="T24" s="818">
        <v>500</v>
      </c>
      <c r="U24" s="818"/>
      <c r="V24" s="818"/>
      <c r="W24" s="818">
        <v>500</v>
      </c>
      <c r="X24" s="821">
        <f>+N24-W24</f>
        <v>8000</v>
      </c>
      <c r="Y24" s="818">
        <f>AB24</f>
        <v>8000</v>
      </c>
      <c r="Z24" s="818"/>
      <c r="AA24" s="818"/>
      <c r="AB24" s="818">
        <v>8000</v>
      </c>
      <c r="AC24" s="313" t="s">
        <v>1752</v>
      </c>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c r="EB24" s="7"/>
      <c r="EC24" s="7"/>
      <c r="ED24" s="7"/>
      <c r="EE24" s="7"/>
      <c r="EF24" s="7"/>
      <c r="EG24" s="7"/>
      <c r="EH24" s="7"/>
      <c r="EI24" s="7"/>
      <c r="EJ24" s="7"/>
      <c r="EK24" s="7"/>
      <c r="EL24" s="7"/>
      <c r="EM24" s="7"/>
      <c r="EN24" s="7"/>
      <c r="EO24" s="7"/>
      <c r="EP24" s="7"/>
      <c r="EQ24" s="7"/>
      <c r="ER24" s="7"/>
      <c r="ES24" s="7"/>
      <c r="ET24" s="7"/>
      <c r="EU24" s="7"/>
      <c r="EV24" s="7"/>
      <c r="EW24" s="7"/>
      <c r="EX24" s="7"/>
      <c r="EY24" s="7"/>
      <c r="EZ24" s="7"/>
      <c r="FA24" s="7"/>
      <c r="FB24" s="7"/>
      <c r="FC24" s="7"/>
      <c r="FD24" s="7"/>
      <c r="FE24" s="7"/>
      <c r="FF24" s="7"/>
      <c r="FG24" s="7"/>
      <c r="FH24" s="7"/>
      <c r="FI24" s="7"/>
      <c r="FJ24" s="7"/>
      <c r="FK24" s="7"/>
      <c r="FL24" s="7"/>
      <c r="FM24" s="7"/>
      <c r="FN24" s="7"/>
      <c r="FO24" s="7"/>
      <c r="FP24" s="7"/>
      <c r="FQ24" s="7"/>
      <c r="FR24" s="7"/>
      <c r="FS24" s="7"/>
      <c r="FT24" s="7"/>
      <c r="FU24" s="7"/>
      <c r="FV24" s="7"/>
      <c r="FW24" s="7"/>
      <c r="FX24" s="7"/>
      <c r="FY24" s="7"/>
      <c r="FZ24" s="7"/>
      <c r="GA24" s="7"/>
      <c r="GB24" s="7"/>
      <c r="GC24" s="7"/>
      <c r="GD24" s="7"/>
      <c r="GE24" s="7"/>
      <c r="GF24" s="7"/>
      <c r="GG24" s="7"/>
      <c r="GH24" s="7"/>
      <c r="GI24" s="7"/>
      <c r="GJ24" s="7"/>
      <c r="GK24" s="7"/>
      <c r="GL24" s="7"/>
      <c r="GM24" s="7"/>
      <c r="GN24" s="7"/>
      <c r="GO24" s="7"/>
      <c r="GP24" s="7"/>
      <c r="GQ24" s="7"/>
      <c r="GR24" s="7"/>
      <c r="GS24" s="7"/>
      <c r="GT24" s="7"/>
      <c r="GU24" s="7"/>
      <c r="GV24" s="7"/>
      <c r="GW24" s="7"/>
      <c r="GX24" s="7"/>
      <c r="GY24" s="7"/>
      <c r="GZ24" s="7"/>
      <c r="HA24" s="7"/>
      <c r="HB24" s="7"/>
      <c r="HC24" s="7"/>
      <c r="HD24" s="7"/>
      <c r="HE24" s="7"/>
      <c r="HF24" s="7"/>
      <c r="HG24" s="7"/>
      <c r="HH24" s="7"/>
      <c r="HI24" s="7"/>
      <c r="HJ24" s="7"/>
      <c r="HK24" s="7"/>
      <c r="HL24" s="7"/>
      <c r="HM24" s="7"/>
      <c r="HN24" s="7"/>
      <c r="HO24" s="7"/>
      <c r="HP24" s="7"/>
      <c r="HQ24" s="7"/>
      <c r="HR24" s="7"/>
      <c r="HS24" s="7"/>
      <c r="HT24" s="7"/>
      <c r="HU24" s="7"/>
      <c r="HV24" s="7"/>
      <c r="HW24" s="7"/>
      <c r="HX24" s="7"/>
      <c r="HY24" s="7"/>
      <c r="HZ24" s="7"/>
      <c r="IA24" s="7"/>
      <c r="IB24" s="7"/>
      <c r="IC24" s="7"/>
      <c r="ID24" s="7"/>
      <c r="IE24" s="7"/>
      <c r="IF24" s="7"/>
      <c r="IG24" s="7"/>
      <c r="IH24" s="7"/>
      <c r="II24" s="7"/>
      <c r="IJ24" s="7"/>
      <c r="IK24" s="7"/>
      <c r="IL24" s="7"/>
      <c r="IM24" s="7"/>
      <c r="IN24" s="7"/>
      <c r="IO24" s="7"/>
    </row>
    <row r="25" spans="1:249" ht="51.75" customHeight="1">
      <c r="A25" s="13">
        <v>2</v>
      </c>
      <c r="B25" s="198" t="s">
        <v>1753</v>
      </c>
      <c r="C25" s="842"/>
      <c r="D25" s="173"/>
      <c r="E25" s="173"/>
      <c r="F25" s="173" t="s">
        <v>436</v>
      </c>
      <c r="G25" s="173" t="s">
        <v>186</v>
      </c>
      <c r="H25" s="173"/>
      <c r="I25" s="308" t="s">
        <v>411</v>
      </c>
      <c r="J25" s="854"/>
      <c r="K25" s="825">
        <v>35000</v>
      </c>
      <c r="L25" s="825"/>
      <c r="M25" s="825"/>
      <c r="N25" s="825">
        <v>35000</v>
      </c>
      <c r="O25" s="825"/>
      <c r="P25" s="825">
        <f>100+100</f>
        <v>200</v>
      </c>
      <c r="Q25" s="825"/>
      <c r="R25" s="825"/>
      <c r="S25" s="825">
        <f>100+100</f>
        <v>200</v>
      </c>
      <c r="T25" s="825">
        <f>100+100</f>
        <v>200</v>
      </c>
      <c r="U25" s="825"/>
      <c r="V25" s="825"/>
      <c r="W25" s="825">
        <f>100+100</f>
        <v>200</v>
      </c>
      <c r="X25" s="314">
        <f>K25-T25</f>
        <v>34800</v>
      </c>
      <c r="Y25" s="825">
        <f>AB25</f>
        <v>12000</v>
      </c>
      <c r="Z25" s="825"/>
      <c r="AA25" s="825"/>
      <c r="AB25" s="825">
        <v>12000</v>
      </c>
      <c r="AC25" s="185" t="s">
        <v>1752</v>
      </c>
      <c r="AD25" s="813"/>
      <c r="AE25" s="813"/>
      <c r="AF25" s="813"/>
      <c r="AG25" s="813"/>
      <c r="AH25" s="813"/>
      <c r="AI25" s="813"/>
      <c r="AJ25" s="813"/>
      <c r="AK25" s="813"/>
      <c r="AL25" s="813"/>
      <c r="AM25" s="813"/>
      <c r="AN25" s="813"/>
      <c r="AO25" s="813"/>
      <c r="AP25" s="813"/>
      <c r="AQ25" s="813"/>
      <c r="AR25" s="813"/>
      <c r="AS25" s="813"/>
      <c r="AT25" s="813"/>
      <c r="AU25" s="813"/>
      <c r="AV25" s="813"/>
      <c r="AW25" s="813"/>
      <c r="AX25" s="813"/>
      <c r="AY25" s="813"/>
      <c r="AZ25" s="813"/>
      <c r="BA25" s="813"/>
      <c r="BB25" s="813"/>
      <c r="BC25" s="813"/>
      <c r="BD25" s="813"/>
      <c r="BE25" s="813"/>
      <c r="BF25" s="813"/>
      <c r="BG25" s="813"/>
      <c r="BH25" s="813"/>
      <c r="BI25" s="813"/>
      <c r="BJ25" s="813"/>
      <c r="BK25" s="813"/>
      <c r="BL25" s="813"/>
      <c r="BM25" s="813"/>
      <c r="BN25" s="813"/>
      <c r="BO25" s="813"/>
      <c r="BP25" s="813"/>
      <c r="BQ25" s="813"/>
      <c r="BR25" s="813"/>
      <c r="BS25" s="813"/>
      <c r="BT25" s="813"/>
      <c r="BU25" s="813"/>
      <c r="BV25" s="813"/>
      <c r="BW25" s="813"/>
      <c r="BX25" s="813"/>
      <c r="BY25" s="813"/>
      <c r="BZ25" s="813"/>
      <c r="CA25" s="813"/>
      <c r="CB25" s="813"/>
      <c r="CC25" s="813"/>
      <c r="CD25" s="813"/>
      <c r="CE25" s="813"/>
      <c r="CF25" s="813"/>
      <c r="CG25" s="813"/>
      <c r="CH25" s="813"/>
      <c r="CI25" s="813"/>
      <c r="CJ25" s="813"/>
      <c r="CK25" s="813"/>
      <c r="CL25" s="813"/>
      <c r="CM25" s="813"/>
      <c r="CN25" s="813"/>
      <c r="CO25" s="813"/>
      <c r="CP25" s="813"/>
      <c r="CQ25" s="813"/>
      <c r="CR25" s="813"/>
      <c r="CS25" s="813"/>
      <c r="CT25" s="813"/>
      <c r="CU25" s="813"/>
      <c r="CV25" s="813"/>
      <c r="CW25" s="813"/>
      <c r="CX25" s="813"/>
      <c r="CY25" s="813"/>
      <c r="CZ25" s="813"/>
      <c r="DA25" s="813"/>
      <c r="DB25" s="813"/>
      <c r="DC25" s="813"/>
      <c r="DD25" s="813"/>
      <c r="DE25" s="813"/>
      <c r="DF25" s="813"/>
      <c r="DG25" s="813"/>
      <c r="DH25" s="813"/>
      <c r="DI25" s="813"/>
      <c r="DJ25" s="813"/>
      <c r="DK25" s="813"/>
      <c r="DL25" s="813"/>
      <c r="DM25" s="813"/>
      <c r="DN25" s="813"/>
      <c r="DO25" s="813"/>
      <c r="DP25" s="813"/>
      <c r="DQ25" s="813"/>
      <c r="DR25" s="813"/>
      <c r="DS25" s="813"/>
      <c r="DT25" s="813"/>
      <c r="DU25" s="813"/>
      <c r="DV25" s="813"/>
      <c r="DW25" s="813"/>
      <c r="DX25" s="813"/>
      <c r="DY25" s="813"/>
      <c r="DZ25" s="813"/>
      <c r="EA25" s="813"/>
      <c r="EB25" s="813"/>
      <c r="EC25" s="813"/>
      <c r="ED25" s="813"/>
      <c r="EE25" s="813"/>
      <c r="EF25" s="813"/>
      <c r="EG25" s="813"/>
      <c r="EH25" s="813"/>
      <c r="EI25" s="813"/>
      <c r="EJ25" s="813"/>
      <c r="EK25" s="813"/>
      <c r="EL25" s="813"/>
      <c r="EM25" s="813"/>
      <c r="EN25" s="813"/>
      <c r="EO25" s="813"/>
      <c r="EP25" s="813"/>
      <c r="EQ25" s="813"/>
      <c r="ER25" s="813"/>
      <c r="ES25" s="813"/>
      <c r="ET25" s="813"/>
      <c r="EU25" s="813"/>
      <c r="EV25" s="813"/>
      <c r="EW25" s="813"/>
      <c r="EX25" s="813"/>
      <c r="EY25" s="813"/>
      <c r="EZ25" s="813"/>
      <c r="FA25" s="813"/>
      <c r="FB25" s="813"/>
      <c r="FC25" s="813"/>
      <c r="FD25" s="813"/>
      <c r="FE25" s="813"/>
      <c r="FF25" s="813"/>
      <c r="FG25" s="813"/>
      <c r="FH25" s="813"/>
      <c r="FI25" s="813"/>
      <c r="FJ25" s="813"/>
      <c r="FK25" s="813"/>
      <c r="FL25" s="813"/>
      <c r="FM25" s="813"/>
      <c r="FN25" s="813"/>
      <c r="FO25" s="813"/>
      <c r="FP25" s="813"/>
      <c r="FQ25" s="813"/>
      <c r="FR25" s="813"/>
      <c r="FS25" s="813"/>
      <c r="FT25" s="813"/>
      <c r="FU25" s="813"/>
      <c r="FV25" s="813"/>
      <c r="FW25" s="813"/>
      <c r="FX25" s="813"/>
      <c r="FY25" s="813"/>
      <c r="FZ25" s="813"/>
      <c r="GA25" s="813"/>
      <c r="GB25" s="813"/>
      <c r="GC25" s="813"/>
      <c r="GD25" s="813"/>
      <c r="GE25" s="813"/>
      <c r="GF25" s="813"/>
      <c r="GG25" s="813"/>
      <c r="GH25" s="813"/>
      <c r="GI25" s="813"/>
      <c r="GJ25" s="813"/>
      <c r="GK25" s="813"/>
      <c r="GL25" s="813"/>
      <c r="GM25" s="813"/>
      <c r="GN25" s="813"/>
      <c r="GO25" s="813"/>
      <c r="GP25" s="813"/>
      <c r="GQ25" s="813"/>
      <c r="GR25" s="813"/>
      <c r="GS25" s="813"/>
      <c r="GT25" s="813"/>
      <c r="GU25" s="813"/>
      <c r="GV25" s="813"/>
      <c r="GW25" s="813"/>
      <c r="GX25" s="813"/>
      <c r="GY25" s="813"/>
      <c r="GZ25" s="813"/>
      <c r="HA25" s="813"/>
      <c r="HB25" s="813"/>
      <c r="HC25" s="813"/>
      <c r="HD25" s="813"/>
      <c r="HE25" s="813"/>
      <c r="HF25" s="813"/>
      <c r="HG25" s="813"/>
      <c r="HH25" s="813"/>
      <c r="HI25" s="813"/>
      <c r="HJ25" s="813"/>
      <c r="HK25" s="813"/>
      <c r="HL25" s="813"/>
      <c r="HM25" s="813"/>
      <c r="HN25" s="813"/>
      <c r="HO25" s="813"/>
      <c r="HP25" s="813"/>
      <c r="HQ25" s="813"/>
      <c r="HR25" s="813"/>
      <c r="HS25" s="813"/>
      <c r="HT25" s="813"/>
      <c r="HU25" s="813"/>
      <c r="HV25" s="813"/>
      <c r="HW25" s="813"/>
      <c r="HX25" s="813"/>
      <c r="HY25" s="813"/>
      <c r="HZ25" s="813"/>
      <c r="IA25" s="813"/>
      <c r="IB25" s="813"/>
      <c r="IC25" s="813"/>
      <c r="ID25" s="813"/>
      <c r="IE25" s="813"/>
      <c r="IF25" s="813"/>
      <c r="IG25" s="813"/>
      <c r="IH25" s="813"/>
      <c r="II25" s="813"/>
      <c r="IJ25" s="813"/>
      <c r="IK25" s="813"/>
      <c r="IL25" s="813"/>
      <c r="IM25" s="813"/>
      <c r="IN25" s="813"/>
      <c r="IO25" s="813"/>
    </row>
    <row r="26" spans="1:249" s="266" customFormat="1" ht="26.25" customHeight="1">
      <c r="A26" s="320" t="s">
        <v>45</v>
      </c>
      <c r="B26" s="169" t="s">
        <v>1754</v>
      </c>
      <c r="C26" s="843"/>
      <c r="D26" s="170"/>
      <c r="E26" s="170"/>
      <c r="F26" s="170"/>
      <c r="G26" s="170"/>
      <c r="H26" s="170"/>
      <c r="I26" s="310"/>
      <c r="J26" s="855"/>
      <c r="K26" s="826">
        <f>K27</f>
        <v>7750</v>
      </c>
      <c r="L26" s="826">
        <f t="shared" ref="L26:AB26" si="7">L27</f>
        <v>0</v>
      </c>
      <c r="M26" s="826">
        <f t="shared" si="7"/>
        <v>0</v>
      </c>
      <c r="N26" s="826">
        <f t="shared" si="7"/>
        <v>7750</v>
      </c>
      <c r="O26" s="826">
        <f t="shared" si="7"/>
        <v>0</v>
      </c>
      <c r="P26" s="826">
        <f t="shared" si="7"/>
        <v>0</v>
      </c>
      <c r="Q26" s="826">
        <f t="shared" si="7"/>
        <v>0</v>
      </c>
      <c r="R26" s="826">
        <f t="shared" si="7"/>
        <v>0</v>
      </c>
      <c r="S26" s="826">
        <f t="shared" si="7"/>
        <v>0</v>
      </c>
      <c r="T26" s="826">
        <f t="shared" si="7"/>
        <v>0</v>
      </c>
      <c r="U26" s="826">
        <f t="shared" si="7"/>
        <v>0</v>
      </c>
      <c r="V26" s="826">
        <f t="shared" si="7"/>
        <v>0</v>
      </c>
      <c r="W26" s="826">
        <f t="shared" si="7"/>
        <v>0</v>
      </c>
      <c r="X26" s="826">
        <f t="shared" si="7"/>
        <v>7750</v>
      </c>
      <c r="Y26" s="826">
        <f t="shared" si="7"/>
        <v>6000</v>
      </c>
      <c r="Z26" s="826"/>
      <c r="AA26" s="826"/>
      <c r="AB26" s="826">
        <f t="shared" si="7"/>
        <v>6000</v>
      </c>
      <c r="AC26" s="168"/>
      <c r="AD26" s="151"/>
      <c r="AE26" s="151"/>
      <c r="AF26" s="151"/>
      <c r="AG26" s="151"/>
      <c r="AH26" s="151"/>
      <c r="AI26" s="151"/>
      <c r="AJ26" s="151"/>
      <c r="AK26" s="151"/>
      <c r="AL26" s="151"/>
      <c r="AM26" s="151"/>
      <c r="AN26" s="151"/>
      <c r="AO26" s="151"/>
      <c r="AP26" s="151"/>
      <c r="AQ26" s="151"/>
      <c r="AR26" s="151"/>
      <c r="AS26" s="151"/>
      <c r="AT26" s="151"/>
      <c r="AU26" s="151"/>
      <c r="AV26" s="151"/>
      <c r="AW26" s="151"/>
      <c r="AX26" s="151"/>
      <c r="AY26" s="151"/>
      <c r="AZ26" s="151"/>
      <c r="BA26" s="151"/>
      <c r="BB26" s="151"/>
      <c r="BC26" s="151"/>
      <c r="BD26" s="151"/>
      <c r="BE26" s="151"/>
      <c r="BF26" s="151"/>
      <c r="BG26" s="151"/>
      <c r="BH26" s="151"/>
      <c r="BI26" s="151"/>
      <c r="BJ26" s="151"/>
      <c r="BK26" s="151"/>
      <c r="BL26" s="151"/>
      <c r="BM26" s="151"/>
      <c r="BN26" s="151"/>
      <c r="BO26" s="151"/>
      <c r="BP26" s="151"/>
      <c r="BQ26" s="151"/>
      <c r="BR26" s="151"/>
      <c r="BS26" s="151"/>
      <c r="BT26" s="151"/>
      <c r="BU26" s="151"/>
      <c r="BV26" s="151"/>
      <c r="BW26" s="151"/>
      <c r="BX26" s="151"/>
      <c r="BY26" s="151"/>
      <c r="BZ26" s="151"/>
      <c r="CA26" s="151"/>
      <c r="CB26" s="151"/>
      <c r="CC26" s="151"/>
      <c r="CD26" s="151"/>
      <c r="CE26" s="151"/>
      <c r="CF26" s="151"/>
      <c r="CG26" s="151"/>
      <c r="CH26" s="151"/>
      <c r="CI26" s="151"/>
      <c r="CJ26" s="151"/>
      <c r="CK26" s="151"/>
      <c r="CL26" s="151"/>
      <c r="CM26" s="151"/>
      <c r="CN26" s="151"/>
      <c r="CO26" s="151"/>
      <c r="CP26" s="151"/>
      <c r="CQ26" s="151"/>
      <c r="CR26" s="151"/>
      <c r="CS26" s="151"/>
      <c r="CT26" s="151"/>
      <c r="CU26" s="151"/>
      <c r="CV26" s="151"/>
      <c r="CW26" s="151"/>
      <c r="CX26" s="151"/>
      <c r="CY26" s="151"/>
      <c r="CZ26" s="151"/>
      <c r="DA26" s="151"/>
      <c r="DB26" s="151"/>
      <c r="DC26" s="151"/>
      <c r="DD26" s="151"/>
      <c r="DE26" s="151"/>
      <c r="DF26" s="151"/>
      <c r="DG26" s="151"/>
      <c r="DH26" s="151"/>
      <c r="DI26" s="151"/>
      <c r="DJ26" s="151"/>
      <c r="DK26" s="151"/>
      <c r="DL26" s="151"/>
      <c r="DM26" s="151"/>
      <c r="DN26" s="151"/>
      <c r="DO26" s="151"/>
      <c r="DP26" s="151"/>
      <c r="DQ26" s="151"/>
      <c r="DR26" s="151"/>
      <c r="DS26" s="151"/>
      <c r="DT26" s="151"/>
      <c r="DU26" s="151"/>
      <c r="DV26" s="151"/>
      <c r="DW26" s="151"/>
      <c r="DX26" s="151"/>
      <c r="DY26" s="151"/>
      <c r="DZ26" s="151"/>
      <c r="EA26" s="151"/>
      <c r="EB26" s="151"/>
      <c r="EC26" s="151"/>
      <c r="ED26" s="151"/>
      <c r="EE26" s="151"/>
      <c r="EF26" s="151"/>
      <c r="EG26" s="151"/>
      <c r="EH26" s="151"/>
      <c r="EI26" s="151"/>
      <c r="EJ26" s="151"/>
      <c r="EK26" s="151"/>
      <c r="EL26" s="151"/>
      <c r="EM26" s="151"/>
      <c r="EN26" s="151"/>
      <c r="EO26" s="151"/>
      <c r="EP26" s="151"/>
      <c r="EQ26" s="151"/>
      <c r="ER26" s="151"/>
      <c r="ES26" s="151"/>
      <c r="ET26" s="151"/>
      <c r="EU26" s="151"/>
      <c r="EV26" s="151"/>
      <c r="EW26" s="151"/>
      <c r="EX26" s="151"/>
      <c r="EY26" s="151"/>
      <c r="EZ26" s="151"/>
      <c r="FA26" s="151"/>
      <c r="FB26" s="151"/>
      <c r="FC26" s="151"/>
      <c r="FD26" s="151"/>
      <c r="FE26" s="151"/>
      <c r="FF26" s="151"/>
      <c r="FG26" s="151"/>
      <c r="FH26" s="151"/>
      <c r="FI26" s="151"/>
      <c r="FJ26" s="151"/>
      <c r="FK26" s="151"/>
      <c r="FL26" s="151"/>
      <c r="FM26" s="151"/>
      <c r="FN26" s="151"/>
      <c r="FO26" s="151"/>
      <c r="FP26" s="151"/>
      <c r="FQ26" s="151"/>
      <c r="FR26" s="151"/>
      <c r="FS26" s="151"/>
      <c r="FT26" s="151"/>
      <c r="FU26" s="151"/>
      <c r="FV26" s="151"/>
      <c r="FW26" s="151"/>
      <c r="FX26" s="151"/>
      <c r="FY26" s="151"/>
      <c r="FZ26" s="151"/>
      <c r="GA26" s="151"/>
      <c r="GB26" s="151"/>
      <c r="GC26" s="151"/>
      <c r="GD26" s="151"/>
      <c r="GE26" s="151"/>
      <c r="GF26" s="151"/>
      <c r="GG26" s="151"/>
      <c r="GH26" s="151"/>
      <c r="GI26" s="151"/>
      <c r="GJ26" s="151"/>
      <c r="GK26" s="151"/>
      <c r="GL26" s="151"/>
      <c r="GM26" s="151"/>
      <c r="GN26" s="151"/>
      <c r="GO26" s="151"/>
      <c r="GP26" s="151"/>
      <c r="GQ26" s="151"/>
      <c r="GR26" s="151"/>
      <c r="GS26" s="151"/>
      <c r="GT26" s="151"/>
      <c r="GU26" s="151"/>
      <c r="GV26" s="151"/>
      <c r="GW26" s="151"/>
      <c r="GX26" s="151"/>
      <c r="GY26" s="151"/>
      <c r="GZ26" s="151"/>
      <c r="HA26" s="151"/>
      <c r="HB26" s="151"/>
      <c r="HC26" s="151"/>
      <c r="HD26" s="151"/>
      <c r="HE26" s="151"/>
      <c r="HF26" s="151"/>
      <c r="HG26" s="151"/>
      <c r="HH26" s="151"/>
      <c r="HI26" s="151"/>
      <c r="HJ26" s="151"/>
      <c r="HK26" s="151"/>
      <c r="HL26" s="151"/>
      <c r="HM26" s="151"/>
      <c r="HN26" s="151"/>
      <c r="HO26" s="151"/>
      <c r="HP26" s="151"/>
      <c r="HQ26" s="151"/>
      <c r="HR26" s="151"/>
      <c r="HS26" s="151"/>
      <c r="HT26" s="151"/>
      <c r="HU26" s="151"/>
      <c r="HV26" s="151"/>
      <c r="HW26" s="151"/>
      <c r="HX26" s="151"/>
      <c r="HY26" s="151"/>
      <c r="HZ26" s="151"/>
      <c r="IA26" s="151"/>
      <c r="IB26" s="151"/>
      <c r="IC26" s="151"/>
      <c r="ID26" s="151"/>
      <c r="IE26" s="151"/>
      <c r="IF26" s="151"/>
      <c r="IG26" s="151"/>
      <c r="IH26" s="151"/>
      <c r="II26" s="151"/>
      <c r="IJ26" s="151"/>
      <c r="IK26" s="151"/>
      <c r="IL26" s="151"/>
      <c r="IM26" s="151"/>
      <c r="IN26" s="151"/>
      <c r="IO26" s="151"/>
    </row>
    <row r="27" spans="1:249" ht="45">
      <c r="A27" s="13">
        <v>1</v>
      </c>
      <c r="B27" s="856" t="s">
        <v>1755</v>
      </c>
      <c r="C27" s="857" t="s">
        <v>666</v>
      </c>
      <c r="D27" s="858"/>
      <c r="E27" s="858"/>
      <c r="F27" s="858" t="s">
        <v>1756</v>
      </c>
      <c r="G27" s="185" t="s">
        <v>186</v>
      </c>
      <c r="H27" s="185"/>
      <c r="I27" s="308" t="s">
        <v>411</v>
      </c>
      <c r="J27" s="859"/>
      <c r="K27" s="827">
        <f>3800+3950</f>
        <v>7750</v>
      </c>
      <c r="L27" s="827"/>
      <c r="M27" s="827"/>
      <c r="N27" s="827">
        <f>3800+3950</f>
        <v>7750</v>
      </c>
      <c r="O27" s="827"/>
      <c r="P27" s="314"/>
      <c r="Q27" s="827"/>
      <c r="R27" s="827"/>
      <c r="S27" s="314"/>
      <c r="T27" s="314"/>
      <c r="U27" s="828"/>
      <c r="V27" s="828"/>
      <c r="W27" s="314"/>
      <c r="X27" s="827">
        <f>+N27-T27</f>
        <v>7750</v>
      </c>
      <c r="Y27" s="827">
        <f>+AB27</f>
        <v>6000</v>
      </c>
      <c r="Z27" s="827"/>
      <c r="AA27" s="827"/>
      <c r="AB27" s="827">
        <f>3000+3000</f>
        <v>6000</v>
      </c>
      <c r="AC27" s="173" t="s">
        <v>1757</v>
      </c>
      <c r="AD27" s="150"/>
      <c r="AE27" s="150"/>
      <c r="AF27" s="150"/>
      <c r="AG27" s="150"/>
      <c r="AH27" s="150"/>
      <c r="AI27" s="150"/>
      <c r="AJ27" s="150"/>
      <c r="AK27" s="150"/>
      <c r="AL27" s="150"/>
      <c r="AM27" s="150"/>
      <c r="AN27" s="150"/>
      <c r="AO27" s="150"/>
      <c r="AP27" s="150"/>
      <c r="AQ27" s="150"/>
      <c r="AR27" s="150"/>
      <c r="AS27" s="150"/>
      <c r="AT27" s="150"/>
      <c r="AU27" s="150"/>
      <c r="AV27" s="150"/>
      <c r="AW27" s="150"/>
      <c r="AX27" s="150"/>
      <c r="AY27" s="150"/>
      <c r="AZ27" s="150"/>
      <c r="BA27" s="150"/>
      <c r="BB27" s="150"/>
      <c r="BC27" s="150"/>
      <c r="BD27" s="150"/>
      <c r="BE27" s="150"/>
      <c r="BF27" s="150"/>
      <c r="BG27" s="150"/>
      <c r="BH27" s="150"/>
      <c r="BI27" s="150"/>
      <c r="BJ27" s="150"/>
      <c r="BK27" s="150"/>
      <c r="BL27" s="150"/>
      <c r="BM27" s="150"/>
      <c r="BN27" s="150"/>
      <c r="BO27" s="150"/>
      <c r="BP27" s="150"/>
      <c r="BQ27" s="150"/>
      <c r="BR27" s="150"/>
      <c r="BS27" s="150"/>
      <c r="BT27" s="150"/>
      <c r="BU27" s="150"/>
      <c r="BV27" s="150"/>
      <c r="BW27" s="150"/>
      <c r="BX27" s="150"/>
      <c r="BY27" s="150"/>
      <c r="BZ27" s="150"/>
      <c r="CA27" s="150"/>
      <c r="CB27" s="150"/>
      <c r="CC27" s="150"/>
      <c r="CD27" s="150"/>
      <c r="CE27" s="150"/>
      <c r="CF27" s="150"/>
      <c r="CG27" s="150"/>
      <c r="CH27" s="150"/>
      <c r="CI27" s="150"/>
      <c r="CJ27" s="150"/>
      <c r="CK27" s="150"/>
      <c r="CL27" s="150"/>
      <c r="CM27" s="150"/>
      <c r="CN27" s="150"/>
      <c r="CO27" s="150"/>
      <c r="CP27" s="150"/>
      <c r="CQ27" s="150"/>
      <c r="CR27" s="150"/>
      <c r="CS27" s="150"/>
      <c r="CT27" s="150"/>
      <c r="CU27" s="150"/>
      <c r="CV27" s="150"/>
      <c r="CW27" s="150"/>
      <c r="CX27" s="150"/>
      <c r="CY27" s="150"/>
      <c r="CZ27" s="150"/>
      <c r="DA27" s="150"/>
      <c r="DB27" s="150"/>
      <c r="DC27" s="150"/>
      <c r="DD27" s="150"/>
      <c r="DE27" s="150"/>
      <c r="DF27" s="150"/>
      <c r="DG27" s="150"/>
      <c r="DH27" s="150"/>
      <c r="DI27" s="150"/>
      <c r="DJ27" s="150"/>
      <c r="DK27" s="150"/>
      <c r="DL27" s="150"/>
      <c r="DM27" s="150"/>
      <c r="DN27" s="150"/>
      <c r="DO27" s="150"/>
      <c r="DP27" s="150"/>
      <c r="DQ27" s="150"/>
      <c r="DR27" s="150"/>
      <c r="DS27" s="150"/>
      <c r="DT27" s="150"/>
      <c r="DU27" s="150"/>
      <c r="DV27" s="150"/>
      <c r="DW27" s="150"/>
      <c r="DX27" s="150"/>
      <c r="DY27" s="150"/>
      <c r="DZ27" s="150"/>
      <c r="EA27" s="150"/>
      <c r="EB27" s="150"/>
      <c r="EC27" s="150"/>
      <c r="ED27" s="150"/>
      <c r="EE27" s="150"/>
      <c r="EF27" s="150"/>
      <c r="EG27" s="150"/>
      <c r="EH27" s="150"/>
      <c r="EI27" s="150"/>
      <c r="EJ27" s="150"/>
      <c r="EK27" s="150"/>
      <c r="EL27" s="150"/>
      <c r="EM27" s="150"/>
      <c r="EN27" s="150"/>
      <c r="EO27" s="150"/>
      <c r="EP27" s="150"/>
      <c r="EQ27" s="150"/>
      <c r="ER27" s="150"/>
      <c r="ES27" s="150"/>
      <c r="ET27" s="150"/>
      <c r="EU27" s="150"/>
      <c r="EV27" s="150"/>
      <c r="EW27" s="150"/>
      <c r="EX27" s="150"/>
      <c r="EY27" s="150"/>
      <c r="EZ27" s="150"/>
      <c r="FA27" s="150"/>
      <c r="FB27" s="150"/>
      <c r="FC27" s="150"/>
      <c r="FD27" s="150"/>
      <c r="FE27" s="150"/>
      <c r="FF27" s="150"/>
      <c r="FG27" s="150"/>
      <c r="FH27" s="150"/>
      <c r="FI27" s="150"/>
      <c r="FJ27" s="150"/>
      <c r="FK27" s="150"/>
      <c r="FL27" s="150"/>
      <c r="FM27" s="150"/>
      <c r="FN27" s="150"/>
      <c r="FO27" s="150"/>
      <c r="FP27" s="150"/>
      <c r="FQ27" s="150"/>
      <c r="FR27" s="150"/>
      <c r="FS27" s="150"/>
      <c r="FT27" s="150"/>
      <c r="FU27" s="150"/>
      <c r="FV27" s="150"/>
      <c r="FW27" s="150"/>
      <c r="FX27" s="150"/>
      <c r="FY27" s="150"/>
      <c r="FZ27" s="150"/>
      <c r="GA27" s="150"/>
      <c r="GB27" s="150"/>
      <c r="GC27" s="150"/>
      <c r="GD27" s="150"/>
      <c r="GE27" s="150"/>
      <c r="GF27" s="150"/>
      <c r="GG27" s="150"/>
      <c r="GH27" s="150"/>
      <c r="GI27" s="150"/>
      <c r="GJ27" s="150"/>
      <c r="GK27" s="150"/>
      <c r="GL27" s="150"/>
      <c r="GM27" s="150"/>
      <c r="GN27" s="150"/>
      <c r="GO27" s="150"/>
      <c r="GP27" s="150"/>
      <c r="GQ27" s="150"/>
      <c r="GR27" s="150"/>
      <c r="GS27" s="150"/>
      <c r="GT27" s="150"/>
      <c r="GU27" s="150"/>
      <c r="GV27" s="150"/>
      <c r="GW27" s="150"/>
      <c r="GX27" s="150"/>
      <c r="GY27" s="150"/>
      <c r="GZ27" s="150"/>
      <c r="HA27" s="150"/>
      <c r="HB27" s="150"/>
      <c r="HC27" s="150"/>
      <c r="HD27" s="150"/>
      <c r="HE27" s="150"/>
      <c r="HF27" s="150"/>
      <c r="HG27" s="150"/>
      <c r="HH27" s="150"/>
      <c r="HI27" s="150"/>
      <c r="HJ27" s="150"/>
      <c r="HK27" s="150"/>
      <c r="HL27" s="150"/>
      <c r="HM27" s="150"/>
      <c r="HN27" s="150"/>
      <c r="HO27" s="150"/>
      <c r="HP27" s="150"/>
      <c r="HQ27" s="150"/>
      <c r="HR27" s="150"/>
      <c r="HS27" s="150"/>
      <c r="HT27" s="150"/>
      <c r="HU27" s="150"/>
      <c r="HV27" s="150"/>
      <c r="HW27" s="150"/>
      <c r="HX27" s="150"/>
      <c r="HY27" s="150"/>
      <c r="HZ27" s="150"/>
      <c r="IA27" s="150"/>
      <c r="IB27" s="150"/>
      <c r="IC27" s="150"/>
      <c r="ID27" s="150"/>
      <c r="IE27" s="150"/>
      <c r="IF27" s="150"/>
      <c r="IG27" s="150"/>
      <c r="IH27" s="150"/>
      <c r="II27" s="150"/>
      <c r="IJ27" s="150"/>
      <c r="IK27" s="150"/>
      <c r="IL27" s="150"/>
      <c r="IM27" s="150"/>
      <c r="IN27" s="150"/>
      <c r="IO27" s="150"/>
    </row>
    <row r="28" spans="1:249" s="266" customFormat="1" ht="23.25" customHeight="1">
      <c r="A28" s="320" t="s">
        <v>50</v>
      </c>
      <c r="B28" s="860" t="s">
        <v>1758</v>
      </c>
      <c r="C28" s="199"/>
      <c r="D28" s="861"/>
      <c r="E28" s="861"/>
      <c r="F28" s="861"/>
      <c r="G28" s="168"/>
      <c r="H28" s="168"/>
      <c r="I28" s="310"/>
      <c r="J28" s="862"/>
      <c r="K28" s="829">
        <f>K29+K39+K49</f>
        <v>12779650</v>
      </c>
      <c r="L28" s="829">
        <f t="shared" ref="L28:AB28" si="8">L29+L39+L49</f>
        <v>0</v>
      </c>
      <c r="M28" s="829">
        <f t="shared" si="8"/>
        <v>2000000</v>
      </c>
      <c r="N28" s="829">
        <f t="shared" si="8"/>
        <v>6067323</v>
      </c>
      <c r="O28" s="829">
        <f t="shared" si="8"/>
        <v>0</v>
      </c>
      <c r="P28" s="829">
        <f t="shared" si="8"/>
        <v>17090</v>
      </c>
      <c r="Q28" s="829">
        <f t="shared" si="8"/>
        <v>0</v>
      </c>
      <c r="R28" s="829">
        <f t="shared" si="8"/>
        <v>0</v>
      </c>
      <c r="S28" s="829">
        <f t="shared" si="8"/>
        <v>17090</v>
      </c>
      <c r="T28" s="829">
        <f t="shared" si="8"/>
        <v>17090</v>
      </c>
      <c r="U28" s="829">
        <f t="shared" si="8"/>
        <v>0</v>
      </c>
      <c r="V28" s="829">
        <f t="shared" si="8"/>
        <v>0</v>
      </c>
      <c r="W28" s="829">
        <f t="shared" si="8"/>
        <v>17090</v>
      </c>
      <c r="X28" s="829">
        <f t="shared" si="8"/>
        <v>12762560</v>
      </c>
      <c r="Y28" s="829">
        <f t="shared" si="8"/>
        <v>790255</v>
      </c>
      <c r="Z28" s="829">
        <f t="shared" si="8"/>
        <v>0</v>
      </c>
      <c r="AA28" s="829">
        <f t="shared" si="8"/>
        <v>0</v>
      </c>
      <c r="AB28" s="829">
        <f t="shared" si="8"/>
        <v>790255</v>
      </c>
      <c r="AC28" s="170"/>
      <c r="AD28" s="267"/>
      <c r="AE28" s="267"/>
      <c r="AF28" s="267"/>
      <c r="AG28" s="267"/>
      <c r="AH28" s="267"/>
      <c r="AI28" s="267"/>
      <c r="AJ28" s="267"/>
      <c r="AK28" s="267"/>
      <c r="AL28" s="267"/>
      <c r="AM28" s="267"/>
      <c r="AN28" s="267"/>
      <c r="AO28" s="267"/>
      <c r="AP28" s="267"/>
      <c r="AQ28" s="267"/>
      <c r="AR28" s="267"/>
      <c r="AS28" s="267"/>
      <c r="AT28" s="267"/>
      <c r="AU28" s="267"/>
      <c r="AV28" s="267"/>
      <c r="AW28" s="267"/>
      <c r="AX28" s="267"/>
      <c r="AY28" s="267"/>
      <c r="AZ28" s="267"/>
      <c r="BA28" s="267"/>
      <c r="BB28" s="267"/>
      <c r="BC28" s="267"/>
      <c r="BD28" s="267"/>
      <c r="BE28" s="267"/>
      <c r="BF28" s="267"/>
      <c r="BG28" s="267"/>
      <c r="BH28" s="267"/>
      <c r="BI28" s="267"/>
      <c r="BJ28" s="267"/>
      <c r="BK28" s="267"/>
      <c r="BL28" s="267"/>
      <c r="BM28" s="267"/>
      <c r="BN28" s="267"/>
      <c r="BO28" s="267"/>
      <c r="BP28" s="267"/>
      <c r="BQ28" s="267"/>
      <c r="BR28" s="267"/>
      <c r="BS28" s="267"/>
      <c r="BT28" s="267"/>
      <c r="BU28" s="267"/>
      <c r="BV28" s="267"/>
      <c r="BW28" s="267"/>
      <c r="BX28" s="267"/>
      <c r="BY28" s="267"/>
      <c r="BZ28" s="267"/>
      <c r="CA28" s="267"/>
      <c r="CB28" s="267"/>
      <c r="CC28" s="267"/>
      <c r="CD28" s="267"/>
      <c r="CE28" s="267"/>
      <c r="CF28" s="267"/>
      <c r="CG28" s="267"/>
      <c r="CH28" s="267"/>
      <c r="CI28" s="267"/>
      <c r="CJ28" s="267"/>
      <c r="CK28" s="267"/>
      <c r="CL28" s="267"/>
      <c r="CM28" s="267"/>
      <c r="CN28" s="267"/>
      <c r="CO28" s="267"/>
      <c r="CP28" s="267"/>
      <c r="CQ28" s="267"/>
      <c r="CR28" s="267"/>
      <c r="CS28" s="267"/>
      <c r="CT28" s="267"/>
      <c r="CU28" s="267"/>
      <c r="CV28" s="267"/>
      <c r="CW28" s="267"/>
      <c r="CX28" s="267"/>
      <c r="CY28" s="267"/>
      <c r="CZ28" s="267"/>
      <c r="DA28" s="267"/>
      <c r="DB28" s="267"/>
      <c r="DC28" s="267"/>
      <c r="DD28" s="267"/>
      <c r="DE28" s="267"/>
      <c r="DF28" s="267"/>
      <c r="DG28" s="267"/>
      <c r="DH28" s="267"/>
      <c r="DI28" s="267"/>
      <c r="DJ28" s="267"/>
      <c r="DK28" s="267"/>
      <c r="DL28" s="267"/>
      <c r="DM28" s="267"/>
      <c r="DN28" s="267"/>
      <c r="DO28" s="267"/>
      <c r="DP28" s="267"/>
      <c r="DQ28" s="267"/>
      <c r="DR28" s="267"/>
      <c r="DS28" s="267"/>
      <c r="DT28" s="267"/>
      <c r="DU28" s="267"/>
      <c r="DV28" s="267"/>
      <c r="DW28" s="267"/>
      <c r="DX28" s="267"/>
      <c r="DY28" s="267"/>
      <c r="DZ28" s="267"/>
      <c r="EA28" s="267"/>
      <c r="EB28" s="267"/>
      <c r="EC28" s="267"/>
      <c r="ED28" s="267"/>
      <c r="EE28" s="267"/>
      <c r="EF28" s="267"/>
      <c r="EG28" s="267"/>
      <c r="EH28" s="267"/>
      <c r="EI28" s="267"/>
      <c r="EJ28" s="267"/>
      <c r="EK28" s="267"/>
      <c r="EL28" s="267"/>
      <c r="EM28" s="267"/>
      <c r="EN28" s="267"/>
      <c r="EO28" s="267"/>
      <c r="EP28" s="267"/>
      <c r="EQ28" s="267"/>
      <c r="ER28" s="267"/>
      <c r="ES28" s="267"/>
      <c r="ET28" s="267"/>
      <c r="EU28" s="267"/>
      <c r="EV28" s="267"/>
      <c r="EW28" s="267"/>
      <c r="EX28" s="267"/>
      <c r="EY28" s="267"/>
      <c r="EZ28" s="267"/>
      <c r="FA28" s="267"/>
      <c r="FB28" s="267"/>
      <c r="FC28" s="267"/>
      <c r="FD28" s="267"/>
      <c r="FE28" s="267"/>
      <c r="FF28" s="267"/>
      <c r="FG28" s="267"/>
      <c r="FH28" s="267"/>
      <c r="FI28" s="267"/>
      <c r="FJ28" s="267"/>
      <c r="FK28" s="267"/>
      <c r="FL28" s="267"/>
      <c r="FM28" s="267"/>
      <c r="FN28" s="267"/>
      <c r="FO28" s="267"/>
      <c r="FP28" s="267"/>
      <c r="FQ28" s="267"/>
      <c r="FR28" s="267"/>
      <c r="FS28" s="267"/>
      <c r="FT28" s="267"/>
      <c r="FU28" s="267"/>
      <c r="FV28" s="267"/>
      <c r="FW28" s="267"/>
      <c r="FX28" s="267"/>
      <c r="FY28" s="267"/>
      <c r="FZ28" s="267"/>
      <c r="GA28" s="267"/>
      <c r="GB28" s="267"/>
      <c r="GC28" s="267"/>
      <c r="GD28" s="267"/>
      <c r="GE28" s="267"/>
      <c r="GF28" s="267"/>
      <c r="GG28" s="267"/>
      <c r="GH28" s="267"/>
      <c r="GI28" s="267"/>
      <c r="GJ28" s="267"/>
      <c r="GK28" s="267"/>
      <c r="GL28" s="267"/>
      <c r="GM28" s="267"/>
      <c r="GN28" s="267"/>
      <c r="GO28" s="267"/>
      <c r="GP28" s="267"/>
      <c r="GQ28" s="267"/>
      <c r="GR28" s="267"/>
      <c r="GS28" s="267"/>
      <c r="GT28" s="267"/>
      <c r="GU28" s="267"/>
      <c r="GV28" s="267"/>
      <c r="GW28" s="267"/>
      <c r="GX28" s="267"/>
      <c r="GY28" s="267"/>
      <c r="GZ28" s="267"/>
      <c r="HA28" s="267"/>
      <c r="HB28" s="267"/>
      <c r="HC28" s="267"/>
      <c r="HD28" s="267"/>
      <c r="HE28" s="267"/>
      <c r="HF28" s="267"/>
      <c r="HG28" s="267"/>
      <c r="HH28" s="267"/>
      <c r="HI28" s="267"/>
      <c r="HJ28" s="267"/>
      <c r="HK28" s="267"/>
      <c r="HL28" s="267"/>
      <c r="HM28" s="267"/>
      <c r="HN28" s="267"/>
      <c r="HO28" s="267"/>
      <c r="HP28" s="267"/>
      <c r="HQ28" s="267"/>
      <c r="HR28" s="267"/>
      <c r="HS28" s="267"/>
      <c r="HT28" s="267"/>
      <c r="HU28" s="267"/>
      <c r="HV28" s="267"/>
      <c r="HW28" s="267"/>
      <c r="HX28" s="267"/>
      <c r="HY28" s="267"/>
      <c r="HZ28" s="267"/>
      <c r="IA28" s="267"/>
      <c r="IB28" s="267"/>
      <c r="IC28" s="267"/>
      <c r="ID28" s="267"/>
      <c r="IE28" s="267"/>
      <c r="IF28" s="267"/>
      <c r="IG28" s="267"/>
      <c r="IH28" s="267"/>
      <c r="II28" s="267"/>
      <c r="IJ28" s="267"/>
      <c r="IK28" s="267"/>
      <c r="IL28" s="267"/>
      <c r="IM28" s="267"/>
      <c r="IN28" s="267"/>
      <c r="IO28" s="267"/>
    </row>
    <row r="29" spans="1:249" s="266" customFormat="1" ht="28.5" customHeight="1">
      <c r="A29" s="320" t="s">
        <v>1759</v>
      </c>
      <c r="B29" s="860" t="s">
        <v>1760</v>
      </c>
      <c r="C29" s="199"/>
      <c r="D29" s="861"/>
      <c r="E29" s="861"/>
      <c r="F29" s="861"/>
      <c r="G29" s="168"/>
      <c r="H29" s="168"/>
      <c r="I29" s="310"/>
      <c r="J29" s="862"/>
      <c r="K29" s="829">
        <f>SUM(K30:K37)</f>
        <v>11722034</v>
      </c>
      <c r="L29" s="829">
        <f t="shared" ref="L29:X29" si="9">SUM(L30:L37)</f>
        <v>0</v>
      </c>
      <c r="M29" s="829">
        <f t="shared" si="9"/>
        <v>2000000</v>
      </c>
      <c r="N29" s="829">
        <f t="shared" si="9"/>
        <v>5009707</v>
      </c>
      <c r="O29" s="829">
        <f t="shared" si="9"/>
        <v>0</v>
      </c>
      <c r="P29" s="829">
        <f t="shared" si="9"/>
        <v>14090</v>
      </c>
      <c r="Q29" s="829">
        <f t="shared" si="9"/>
        <v>0</v>
      </c>
      <c r="R29" s="829">
        <f t="shared" si="9"/>
        <v>0</v>
      </c>
      <c r="S29" s="829">
        <f t="shared" si="9"/>
        <v>14090</v>
      </c>
      <c r="T29" s="829">
        <f t="shared" si="9"/>
        <v>14090</v>
      </c>
      <c r="U29" s="829">
        <f t="shared" si="9"/>
        <v>0</v>
      </c>
      <c r="V29" s="829">
        <f t="shared" si="9"/>
        <v>0</v>
      </c>
      <c r="W29" s="829">
        <f t="shared" si="9"/>
        <v>14090</v>
      </c>
      <c r="X29" s="829">
        <f t="shared" si="9"/>
        <v>11707944</v>
      </c>
      <c r="Y29" s="829">
        <f t="shared" ref="Y29:AA29" si="10">SUM(Y30:Y38)</f>
        <v>615255</v>
      </c>
      <c r="Z29" s="829">
        <f t="shared" si="10"/>
        <v>0</v>
      </c>
      <c r="AA29" s="829">
        <f t="shared" si="10"/>
        <v>0</v>
      </c>
      <c r="AB29" s="829">
        <f>SUM(AB30:AB38)</f>
        <v>615255</v>
      </c>
      <c r="AC29" s="170"/>
      <c r="AD29" s="267"/>
      <c r="AE29" s="267"/>
      <c r="AF29" s="267"/>
      <c r="AG29" s="267"/>
      <c r="AH29" s="267"/>
      <c r="AI29" s="267"/>
      <c r="AJ29" s="267"/>
      <c r="AK29" s="267"/>
      <c r="AL29" s="267"/>
      <c r="AM29" s="267"/>
      <c r="AN29" s="267"/>
      <c r="AO29" s="267"/>
      <c r="AP29" s="267"/>
      <c r="AQ29" s="267"/>
      <c r="AR29" s="267"/>
      <c r="AS29" s="267"/>
      <c r="AT29" s="267"/>
      <c r="AU29" s="267"/>
      <c r="AV29" s="267"/>
      <c r="AW29" s="267"/>
      <c r="AX29" s="267"/>
      <c r="AY29" s="267"/>
      <c r="AZ29" s="267"/>
      <c r="BA29" s="267"/>
      <c r="BB29" s="267"/>
      <c r="BC29" s="267"/>
      <c r="BD29" s="267"/>
      <c r="BE29" s="267"/>
      <c r="BF29" s="267"/>
      <c r="BG29" s="267"/>
      <c r="BH29" s="267"/>
      <c r="BI29" s="267"/>
      <c r="BJ29" s="267"/>
      <c r="BK29" s="267"/>
      <c r="BL29" s="267"/>
      <c r="BM29" s="267"/>
      <c r="BN29" s="267"/>
      <c r="BO29" s="267"/>
      <c r="BP29" s="267"/>
      <c r="BQ29" s="267"/>
      <c r="BR29" s="267"/>
      <c r="BS29" s="267"/>
      <c r="BT29" s="267"/>
      <c r="BU29" s="267"/>
      <c r="BV29" s="267"/>
      <c r="BW29" s="267"/>
      <c r="BX29" s="267"/>
      <c r="BY29" s="267"/>
      <c r="BZ29" s="267"/>
      <c r="CA29" s="267"/>
      <c r="CB29" s="267"/>
      <c r="CC29" s="267"/>
      <c r="CD29" s="267"/>
      <c r="CE29" s="267"/>
      <c r="CF29" s="267"/>
      <c r="CG29" s="267"/>
      <c r="CH29" s="267"/>
      <c r="CI29" s="267"/>
      <c r="CJ29" s="267"/>
      <c r="CK29" s="267"/>
      <c r="CL29" s="267"/>
      <c r="CM29" s="267"/>
      <c r="CN29" s="267"/>
      <c r="CO29" s="267"/>
      <c r="CP29" s="267"/>
      <c r="CQ29" s="267"/>
      <c r="CR29" s="267"/>
      <c r="CS29" s="267"/>
      <c r="CT29" s="267"/>
      <c r="CU29" s="267"/>
      <c r="CV29" s="267"/>
      <c r="CW29" s="267"/>
      <c r="CX29" s="267"/>
      <c r="CY29" s="267"/>
      <c r="CZ29" s="267"/>
      <c r="DA29" s="267"/>
      <c r="DB29" s="267"/>
      <c r="DC29" s="267"/>
      <c r="DD29" s="267"/>
      <c r="DE29" s="267"/>
      <c r="DF29" s="267"/>
      <c r="DG29" s="267"/>
      <c r="DH29" s="267"/>
      <c r="DI29" s="267"/>
      <c r="DJ29" s="267"/>
      <c r="DK29" s="267"/>
      <c r="DL29" s="267"/>
      <c r="DM29" s="267"/>
      <c r="DN29" s="267"/>
      <c r="DO29" s="267"/>
      <c r="DP29" s="267"/>
      <c r="DQ29" s="267"/>
      <c r="DR29" s="267"/>
      <c r="DS29" s="267"/>
      <c r="DT29" s="267"/>
      <c r="DU29" s="267"/>
      <c r="DV29" s="267"/>
      <c r="DW29" s="267"/>
      <c r="DX29" s="267"/>
      <c r="DY29" s="267"/>
      <c r="DZ29" s="267"/>
      <c r="EA29" s="267"/>
      <c r="EB29" s="267"/>
      <c r="EC29" s="267"/>
      <c r="ED29" s="267"/>
      <c r="EE29" s="267"/>
      <c r="EF29" s="267"/>
      <c r="EG29" s="267"/>
      <c r="EH29" s="267"/>
      <c r="EI29" s="267"/>
      <c r="EJ29" s="267"/>
      <c r="EK29" s="267"/>
      <c r="EL29" s="267"/>
      <c r="EM29" s="267"/>
      <c r="EN29" s="267"/>
      <c r="EO29" s="267"/>
      <c r="EP29" s="267"/>
      <c r="EQ29" s="267"/>
      <c r="ER29" s="267"/>
      <c r="ES29" s="267"/>
      <c r="ET29" s="267"/>
      <c r="EU29" s="267"/>
      <c r="EV29" s="267"/>
      <c r="EW29" s="267"/>
      <c r="EX29" s="267"/>
      <c r="EY29" s="267"/>
      <c r="EZ29" s="267"/>
      <c r="FA29" s="267"/>
      <c r="FB29" s="267"/>
      <c r="FC29" s="267"/>
      <c r="FD29" s="267"/>
      <c r="FE29" s="267"/>
      <c r="FF29" s="267"/>
      <c r="FG29" s="267"/>
      <c r="FH29" s="267"/>
      <c r="FI29" s="267"/>
      <c r="FJ29" s="267"/>
      <c r="FK29" s="267"/>
      <c r="FL29" s="267"/>
      <c r="FM29" s="267"/>
      <c r="FN29" s="267"/>
      <c r="FO29" s="267"/>
      <c r="FP29" s="267"/>
      <c r="FQ29" s="267"/>
      <c r="FR29" s="267"/>
      <c r="FS29" s="267"/>
      <c r="FT29" s="267"/>
      <c r="FU29" s="267"/>
      <c r="FV29" s="267"/>
      <c r="FW29" s="267"/>
      <c r="FX29" s="267"/>
      <c r="FY29" s="267"/>
      <c r="FZ29" s="267"/>
      <c r="GA29" s="267"/>
      <c r="GB29" s="267"/>
      <c r="GC29" s="267"/>
      <c r="GD29" s="267"/>
      <c r="GE29" s="267"/>
      <c r="GF29" s="267"/>
      <c r="GG29" s="267"/>
      <c r="GH29" s="267"/>
      <c r="GI29" s="267"/>
      <c r="GJ29" s="267"/>
      <c r="GK29" s="267"/>
      <c r="GL29" s="267"/>
      <c r="GM29" s="267"/>
      <c r="GN29" s="267"/>
      <c r="GO29" s="267"/>
      <c r="GP29" s="267"/>
      <c r="GQ29" s="267"/>
      <c r="GR29" s="267"/>
      <c r="GS29" s="267"/>
      <c r="GT29" s="267"/>
      <c r="GU29" s="267"/>
      <c r="GV29" s="267"/>
      <c r="GW29" s="267"/>
      <c r="GX29" s="267"/>
      <c r="GY29" s="267"/>
      <c r="GZ29" s="267"/>
      <c r="HA29" s="267"/>
      <c r="HB29" s="267"/>
      <c r="HC29" s="267"/>
      <c r="HD29" s="267"/>
      <c r="HE29" s="267"/>
      <c r="HF29" s="267"/>
      <c r="HG29" s="267"/>
      <c r="HH29" s="267"/>
      <c r="HI29" s="267"/>
      <c r="HJ29" s="267"/>
      <c r="HK29" s="267"/>
      <c r="HL29" s="267"/>
      <c r="HM29" s="267"/>
      <c r="HN29" s="267"/>
      <c r="HO29" s="267"/>
      <c r="HP29" s="267"/>
      <c r="HQ29" s="267"/>
      <c r="HR29" s="267"/>
      <c r="HS29" s="267"/>
      <c r="HT29" s="267"/>
      <c r="HU29" s="267"/>
      <c r="HV29" s="267"/>
      <c r="HW29" s="267"/>
      <c r="HX29" s="267"/>
      <c r="HY29" s="267"/>
      <c r="HZ29" s="267"/>
      <c r="IA29" s="267"/>
      <c r="IB29" s="267"/>
      <c r="IC29" s="267"/>
      <c r="ID29" s="267"/>
      <c r="IE29" s="267"/>
      <c r="IF29" s="267"/>
      <c r="IG29" s="267"/>
      <c r="IH29" s="267"/>
      <c r="II29" s="267"/>
      <c r="IJ29" s="267"/>
      <c r="IK29" s="267"/>
      <c r="IL29" s="267"/>
      <c r="IM29" s="267"/>
      <c r="IN29" s="267"/>
      <c r="IO29" s="267"/>
    </row>
    <row r="30" spans="1:249" ht="60">
      <c r="A30" s="13">
        <v>1</v>
      </c>
      <c r="B30" s="315" t="s">
        <v>1761</v>
      </c>
      <c r="C30" s="15" t="s">
        <v>66</v>
      </c>
      <c r="D30" s="13"/>
      <c r="E30" s="13"/>
      <c r="F30" s="37" t="s">
        <v>751</v>
      </c>
      <c r="G30" s="863" t="s">
        <v>752</v>
      </c>
      <c r="H30" s="863"/>
      <c r="I30" s="21" t="s">
        <v>411</v>
      </c>
      <c r="J30" s="845" t="s">
        <v>1762</v>
      </c>
      <c r="K30" s="830">
        <v>400000</v>
      </c>
      <c r="L30" s="830"/>
      <c r="M30" s="830"/>
      <c r="N30" s="830">
        <v>400000</v>
      </c>
      <c r="O30" s="830"/>
      <c r="P30" s="830">
        <f>Q30+R30+S30</f>
        <v>3000</v>
      </c>
      <c r="Q30" s="830"/>
      <c r="R30" s="830"/>
      <c r="S30" s="830">
        <v>3000</v>
      </c>
      <c r="T30" s="830">
        <f>U30+V30+W30</f>
        <v>3000</v>
      </c>
      <c r="U30" s="830"/>
      <c r="V30" s="830"/>
      <c r="W30" s="830">
        <v>3000</v>
      </c>
      <c r="X30" s="830">
        <f>+N30-T30</f>
        <v>397000</v>
      </c>
      <c r="Y30" s="830">
        <f>Z30+AA30+AB30</f>
        <v>100000</v>
      </c>
      <c r="Z30" s="830"/>
      <c r="AA30" s="830"/>
      <c r="AB30" s="830">
        <v>100000</v>
      </c>
      <c r="AC30" s="13" t="s">
        <v>66</v>
      </c>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8"/>
      <c r="EH30" s="8"/>
      <c r="EI30" s="8"/>
      <c r="EJ30" s="8"/>
      <c r="EK30" s="8"/>
      <c r="EL30" s="8"/>
      <c r="EM30" s="8"/>
      <c r="EN30" s="8"/>
      <c r="EO30" s="8"/>
      <c r="EP30" s="8"/>
      <c r="EQ30" s="8"/>
      <c r="ER30" s="8"/>
      <c r="ES30" s="8"/>
      <c r="ET30" s="8"/>
      <c r="EU30" s="8"/>
      <c r="EV30" s="8"/>
      <c r="EW30" s="8"/>
      <c r="EX30" s="8"/>
      <c r="EY30" s="8"/>
      <c r="EZ30" s="8"/>
      <c r="FA30" s="8"/>
      <c r="FB30" s="8"/>
      <c r="FC30" s="8"/>
      <c r="FD30" s="8"/>
      <c r="FE30" s="8"/>
      <c r="FF30" s="8"/>
      <c r="FG30" s="8"/>
      <c r="FH30" s="8"/>
      <c r="FI30" s="8"/>
      <c r="FJ30" s="8"/>
      <c r="FK30" s="8"/>
      <c r="FL30" s="8"/>
      <c r="FM30" s="8"/>
      <c r="FN30" s="8"/>
      <c r="FO30" s="8"/>
      <c r="FP30" s="8"/>
      <c r="FQ30" s="8"/>
      <c r="FR30" s="8"/>
      <c r="FS30" s="8"/>
      <c r="FT30" s="8"/>
      <c r="FU30" s="8"/>
      <c r="FV30" s="8"/>
      <c r="FW30" s="8"/>
      <c r="FX30" s="8"/>
      <c r="FY30" s="8"/>
      <c r="FZ30" s="8"/>
      <c r="GA30" s="8"/>
      <c r="GB30" s="8"/>
      <c r="GC30" s="8"/>
      <c r="GD30" s="8"/>
      <c r="GE30" s="8"/>
      <c r="GF30" s="8"/>
      <c r="GG30" s="8"/>
      <c r="GH30" s="8"/>
      <c r="GI30" s="8"/>
      <c r="GJ30" s="8"/>
      <c r="GK30" s="8"/>
      <c r="GL30" s="8"/>
      <c r="GM30" s="8"/>
      <c r="GN30" s="8"/>
      <c r="GO30" s="8"/>
      <c r="GP30" s="8"/>
      <c r="GQ30" s="8"/>
      <c r="GR30" s="8"/>
      <c r="GS30" s="8"/>
      <c r="GT30" s="8"/>
      <c r="GU30" s="8"/>
      <c r="GV30" s="8"/>
      <c r="GW30" s="8"/>
      <c r="GX30" s="8"/>
      <c r="GY30" s="8"/>
      <c r="GZ30" s="8"/>
      <c r="HA30" s="8"/>
      <c r="HB30" s="8"/>
      <c r="HC30" s="8"/>
      <c r="HD30" s="8"/>
      <c r="HE30" s="8"/>
      <c r="HF30" s="8"/>
      <c r="HG30" s="8"/>
      <c r="HH30" s="8"/>
      <c r="HI30" s="8"/>
      <c r="HJ30" s="8"/>
      <c r="HK30" s="8"/>
      <c r="HL30" s="8"/>
      <c r="HM30" s="8"/>
      <c r="HN30" s="8"/>
      <c r="HO30" s="8"/>
      <c r="HP30" s="8"/>
      <c r="HQ30" s="8"/>
      <c r="HR30" s="8"/>
      <c r="HS30" s="8"/>
      <c r="HT30" s="8"/>
      <c r="HU30" s="8"/>
      <c r="HV30" s="8"/>
      <c r="HW30" s="8"/>
      <c r="HX30" s="8"/>
      <c r="HY30" s="8"/>
      <c r="HZ30" s="8"/>
      <c r="IA30" s="8"/>
      <c r="IB30" s="8"/>
      <c r="IC30" s="8"/>
      <c r="ID30" s="8"/>
      <c r="IE30" s="8"/>
      <c r="IF30" s="8"/>
      <c r="IG30" s="8"/>
      <c r="IH30" s="8"/>
      <c r="II30" s="8"/>
      <c r="IJ30" s="8"/>
      <c r="IK30" s="8"/>
      <c r="IL30" s="8"/>
      <c r="IM30" s="8"/>
      <c r="IN30" s="8"/>
      <c r="IO30" s="8"/>
    </row>
    <row r="31" spans="1:249" ht="105">
      <c r="A31" s="13">
        <v>2</v>
      </c>
      <c r="B31" s="864" t="s">
        <v>1763</v>
      </c>
      <c r="C31" s="198" t="s">
        <v>66</v>
      </c>
      <c r="D31" s="173"/>
      <c r="E31" s="173"/>
      <c r="F31" s="35" t="s">
        <v>1764</v>
      </c>
      <c r="G31" s="865" t="s">
        <v>1765</v>
      </c>
      <c r="H31" s="865"/>
      <c r="I31" s="308" t="s">
        <v>1043</v>
      </c>
      <c r="J31" s="854" t="s">
        <v>1872</v>
      </c>
      <c r="K31" s="831">
        <v>340000</v>
      </c>
      <c r="L31" s="831"/>
      <c r="M31" s="831"/>
      <c r="N31" s="831">
        <v>340000</v>
      </c>
      <c r="O31" s="831"/>
      <c r="P31" s="831">
        <f>Q31+R31+S31</f>
        <v>5000</v>
      </c>
      <c r="Q31" s="831"/>
      <c r="R31" s="831"/>
      <c r="S31" s="831">
        <v>5000</v>
      </c>
      <c r="T31" s="831">
        <f>U31+V31+W31</f>
        <v>5000</v>
      </c>
      <c r="U31" s="831"/>
      <c r="V31" s="831"/>
      <c r="W31" s="831">
        <v>5000</v>
      </c>
      <c r="X31" s="831">
        <f>K31-T31</f>
        <v>335000</v>
      </c>
      <c r="Y31" s="831">
        <f>AB31</f>
        <v>50000</v>
      </c>
      <c r="Z31" s="831"/>
      <c r="AA31" s="831"/>
      <c r="AB31" s="831">
        <v>50000</v>
      </c>
      <c r="AC31" s="173" t="s">
        <v>1766</v>
      </c>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c r="CJ31" s="23"/>
      <c r="CK31" s="23"/>
      <c r="CL31" s="23"/>
      <c r="CM31" s="23"/>
      <c r="CN31" s="23"/>
      <c r="CO31" s="23"/>
      <c r="CP31" s="23"/>
      <c r="CQ31" s="23"/>
      <c r="CR31" s="23"/>
      <c r="CS31" s="23"/>
      <c r="CT31" s="23"/>
      <c r="CU31" s="23"/>
      <c r="CV31" s="23"/>
      <c r="CW31" s="23"/>
      <c r="CX31" s="23"/>
      <c r="CY31" s="23"/>
      <c r="CZ31" s="23"/>
      <c r="DA31" s="23"/>
      <c r="DB31" s="23"/>
      <c r="DC31" s="23"/>
      <c r="DD31" s="23"/>
      <c r="DE31" s="23"/>
      <c r="DF31" s="23"/>
      <c r="DG31" s="23"/>
      <c r="DH31" s="23"/>
      <c r="DI31" s="23"/>
      <c r="DJ31" s="23"/>
      <c r="DK31" s="23"/>
      <c r="DL31" s="23"/>
      <c r="DM31" s="23"/>
      <c r="DN31" s="23"/>
      <c r="DO31" s="23"/>
      <c r="DP31" s="23"/>
      <c r="DQ31" s="23"/>
      <c r="DR31" s="23"/>
      <c r="DS31" s="23"/>
      <c r="DT31" s="23"/>
      <c r="DU31" s="23"/>
      <c r="DV31" s="23"/>
      <c r="DW31" s="23"/>
      <c r="DX31" s="23"/>
      <c r="DY31" s="23"/>
      <c r="DZ31" s="23"/>
      <c r="EA31" s="23"/>
      <c r="EB31" s="23"/>
      <c r="EC31" s="23"/>
      <c r="ED31" s="23"/>
      <c r="EE31" s="23"/>
      <c r="EF31" s="23"/>
      <c r="EG31" s="23"/>
      <c r="EH31" s="23"/>
      <c r="EI31" s="23"/>
      <c r="EJ31" s="23"/>
      <c r="EK31" s="23"/>
      <c r="EL31" s="23"/>
      <c r="EM31" s="23"/>
      <c r="EN31" s="23"/>
      <c r="EO31" s="23"/>
      <c r="EP31" s="23"/>
      <c r="EQ31" s="23"/>
      <c r="ER31" s="23"/>
      <c r="ES31" s="23"/>
      <c r="ET31" s="23"/>
      <c r="EU31" s="23"/>
      <c r="EV31" s="23"/>
      <c r="EW31" s="23"/>
      <c r="EX31" s="23"/>
      <c r="EY31" s="23"/>
      <c r="EZ31" s="23"/>
      <c r="FA31" s="23"/>
      <c r="FB31" s="23"/>
      <c r="FC31" s="23"/>
      <c r="FD31" s="23"/>
      <c r="FE31" s="23"/>
      <c r="FF31" s="23"/>
      <c r="FG31" s="23"/>
      <c r="FH31" s="23"/>
      <c r="FI31" s="23"/>
      <c r="FJ31" s="23"/>
      <c r="FK31" s="23"/>
      <c r="FL31" s="23"/>
      <c r="FM31" s="23"/>
      <c r="FN31" s="23"/>
      <c r="FO31" s="23"/>
      <c r="FP31" s="23"/>
      <c r="FQ31" s="23"/>
      <c r="FR31" s="23"/>
      <c r="FS31" s="23"/>
      <c r="FT31" s="23"/>
      <c r="FU31" s="23"/>
      <c r="FV31" s="23"/>
      <c r="FW31" s="23"/>
      <c r="FX31" s="23"/>
      <c r="FY31" s="23"/>
      <c r="FZ31" s="23"/>
      <c r="GA31" s="23"/>
      <c r="GB31" s="23"/>
      <c r="GC31" s="23"/>
      <c r="GD31" s="23"/>
      <c r="GE31" s="23"/>
      <c r="GF31" s="23"/>
      <c r="GG31" s="23"/>
      <c r="GH31" s="23"/>
      <c r="GI31" s="23"/>
      <c r="GJ31" s="23"/>
      <c r="GK31" s="23"/>
      <c r="GL31" s="23"/>
      <c r="GM31" s="23"/>
      <c r="GN31" s="23"/>
      <c r="GO31" s="23"/>
      <c r="GP31" s="23"/>
      <c r="GQ31" s="23"/>
      <c r="GR31" s="23"/>
      <c r="GS31" s="23"/>
      <c r="GT31" s="23"/>
      <c r="GU31" s="23"/>
      <c r="GV31" s="23"/>
      <c r="GW31" s="23"/>
      <c r="GX31" s="23"/>
      <c r="GY31" s="23"/>
      <c r="GZ31" s="23"/>
      <c r="HA31" s="23"/>
      <c r="HB31" s="23"/>
      <c r="HC31" s="23"/>
      <c r="HD31" s="23"/>
      <c r="HE31" s="23"/>
      <c r="HF31" s="23"/>
      <c r="HG31" s="23"/>
      <c r="HH31" s="23"/>
      <c r="HI31" s="23"/>
      <c r="HJ31" s="23"/>
      <c r="HK31" s="23"/>
      <c r="HL31" s="23"/>
      <c r="HM31" s="23"/>
      <c r="HN31" s="23"/>
      <c r="HO31" s="23"/>
      <c r="HP31" s="23"/>
      <c r="HQ31" s="23"/>
      <c r="HR31" s="23"/>
      <c r="HS31" s="23"/>
      <c r="HT31" s="23"/>
      <c r="HU31" s="23"/>
      <c r="HV31" s="23"/>
      <c r="HW31" s="23"/>
      <c r="HX31" s="23"/>
      <c r="HY31" s="23"/>
      <c r="HZ31" s="23"/>
      <c r="IA31" s="23"/>
      <c r="IB31" s="23"/>
      <c r="IC31" s="23"/>
      <c r="ID31" s="23"/>
      <c r="IE31" s="23"/>
      <c r="IF31" s="23"/>
      <c r="IG31" s="23"/>
      <c r="IH31" s="23"/>
      <c r="II31" s="23"/>
      <c r="IJ31" s="23"/>
      <c r="IK31" s="23"/>
      <c r="IL31" s="23"/>
      <c r="IM31" s="23"/>
      <c r="IN31" s="23"/>
      <c r="IO31" s="23"/>
    </row>
    <row r="32" spans="1:249" ht="52.5" customHeight="1">
      <c r="A32" s="173">
        <v>3</v>
      </c>
      <c r="B32" s="864" t="s">
        <v>1767</v>
      </c>
      <c r="C32" s="198" t="s">
        <v>66</v>
      </c>
      <c r="D32" s="173"/>
      <c r="E32" s="173"/>
      <c r="F32" s="35" t="s">
        <v>1649</v>
      </c>
      <c r="G32" s="865" t="s">
        <v>1650</v>
      </c>
      <c r="H32" s="865"/>
      <c r="I32" s="308" t="s">
        <v>411</v>
      </c>
      <c r="J32" s="854"/>
      <c r="K32" s="831">
        <v>969707</v>
      </c>
      <c r="L32" s="831"/>
      <c r="M32" s="831"/>
      <c r="N32" s="831">
        <v>969707</v>
      </c>
      <c r="O32" s="831"/>
      <c r="P32" s="831">
        <f>Q32+R32+S32</f>
        <v>0</v>
      </c>
      <c r="Q32" s="831"/>
      <c r="R32" s="831"/>
      <c r="S32" s="831"/>
      <c r="T32" s="831">
        <f>U32+V32+W32</f>
        <v>0</v>
      </c>
      <c r="U32" s="831"/>
      <c r="V32" s="831"/>
      <c r="W32" s="831"/>
      <c r="X32" s="831">
        <v>969707</v>
      </c>
      <c r="Y32" s="831">
        <f>+AB32</f>
        <v>50000</v>
      </c>
      <c r="Z32" s="831"/>
      <c r="AA32" s="831"/>
      <c r="AB32" s="831">
        <v>50000</v>
      </c>
      <c r="AC32" s="173" t="s">
        <v>1766</v>
      </c>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c r="BT32" s="23"/>
      <c r="BU32" s="23"/>
      <c r="BV32" s="23"/>
      <c r="BW32" s="23"/>
      <c r="BX32" s="23"/>
      <c r="BY32" s="23"/>
      <c r="BZ32" s="23"/>
      <c r="CA32" s="23"/>
      <c r="CB32" s="23"/>
      <c r="CC32" s="23"/>
      <c r="CD32" s="23"/>
      <c r="CE32" s="23"/>
      <c r="CF32" s="23"/>
      <c r="CG32" s="23"/>
      <c r="CH32" s="23"/>
      <c r="CI32" s="23"/>
      <c r="CJ32" s="23"/>
      <c r="CK32" s="23"/>
      <c r="CL32" s="23"/>
      <c r="CM32" s="23"/>
      <c r="CN32" s="23"/>
      <c r="CO32" s="23"/>
      <c r="CP32" s="23"/>
      <c r="CQ32" s="23"/>
      <c r="CR32" s="23"/>
      <c r="CS32" s="23"/>
      <c r="CT32" s="23"/>
      <c r="CU32" s="23"/>
      <c r="CV32" s="23"/>
      <c r="CW32" s="23"/>
      <c r="CX32" s="23"/>
      <c r="CY32" s="23"/>
      <c r="CZ32" s="23"/>
      <c r="DA32" s="23"/>
      <c r="DB32" s="23"/>
      <c r="DC32" s="23"/>
      <c r="DD32" s="23"/>
      <c r="DE32" s="23"/>
      <c r="DF32" s="23"/>
      <c r="DG32" s="23"/>
      <c r="DH32" s="23"/>
      <c r="DI32" s="23"/>
      <c r="DJ32" s="23"/>
      <c r="DK32" s="23"/>
      <c r="DL32" s="23"/>
      <c r="DM32" s="23"/>
      <c r="DN32" s="23"/>
      <c r="DO32" s="23"/>
      <c r="DP32" s="23"/>
      <c r="DQ32" s="23"/>
      <c r="DR32" s="23"/>
      <c r="DS32" s="23"/>
      <c r="DT32" s="23"/>
      <c r="DU32" s="23"/>
      <c r="DV32" s="23"/>
      <c r="DW32" s="23"/>
      <c r="DX32" s="23"/>
      <c r="DY32" s="23"/>
      <c r="DZ32" s="23"/>
      <c r="EA32" s="23"/>
      <c r="EB32" s="23"/>
      <c r="EC32" s="23"/>
      <c r="ED32" s="23"/>
      <c r="EE32" s="23"/>
      <c r="EF32" s="23"/>
      <c r="EG32" s="23"/>
      <c r="EH32" s="23"/>
      <c r="EI32" s="23"/>
      <c r="EJ32" s="23"/>
      <c r="EK32" s="23"/>
      <c r="EL32" s="23"/>
      <c r="EM32" s="23"/>
      <c r="EN32" s="23"/>
      <c r="EO32" s="23"/>
      <c r="EP32" s="23"/>
      <c r="EQ32" s="23"/>
      <c r="ER32" s="23"/>
      <c r="ES32" s="23"/>
      <c r="ET32" s="23"/>
      <c r="EU32" s="23"/>
      <c r="EV32" s="23"/>
      <c r="EW32" s="23"/>
      <c r="EX32" s="23"/>
      <c r="EY32" s="23"/>
      <c r="EZ32" s="23"/>
      <c r="FA32" s="23"/>
      <c r="FB32" s="23"/>
      <c r="FC32" s="23"/>
      <c r="FD32" s="23"/>
      <c r="FE32" s="23"/>
      <c r="FF32" s="23"/>
      <c r="FG32" s="23"/>
      <c r="FH32" s="23"/>
      <c r="FI32" s="23"/>
      <c r="FJ32" s="23"/>
      <c r="FK32" s="23"/>
      <c r="FL32" s="23"/>
      <c r="FM32" s="23"/>
      <c r="FN32" s="23"/>
      <c r="FO32" s="23"/>
      <c r="FP32" s="23"/>
      <c r="FQ32" s="23"/>
      <c r="FR32" s="23"/>
      <c r="FS32" s="23"/>
      <c r="FT32" s="23"/>
      <c r="FU32" s="23"/>
      <c r="FV32" s="23"/>
      <c r="FW32" s="23"/>
      <c r="FX32" s="23"/>
      <c r="FY32" s="23"/>
      <c r="FZ32" s="23"/>
      <c r="GA32" s="23"/>
      <c r="GB32" s="23"/>
      <c r="GC32" s="23"/>
      <c r="GD32" s="23"/>
      <c r="GE32" s="23"/>
      <c r="GF32" s="23"/>
      <c r="GG32" s="23"/>
      <c r="GH32" s="23"/>
      <c r="GI32" s="23"/>
      <c r="GJ32" s="23"/>
      <c r="GK32" s="23"/>
      <c r="GL32" s="23"/>
      <c r="GM32" s="23"/>
      <c r="GN32" s="23"/>
      <c r="GO32" s="23"/>
      <c r="GP32" s="23"/>
      <c r="GQ32" s="23"/>
      <c r="GR32" s="23"/>
      <c r="GS32" s="23"/>
      <c r="GT32" s="23"/>
      <c r="GU32" s="23"/>
      <c r="GV32" s="23"/>
      <c r="GW32" s="23"/>
      <c r="GX32" s="23"/>
      <c r="GY32" s="23"/>
      <c r="GZ32" s="23"/>
      <c r="HA32" s="23"/>
      <c r="HB32" s="23"/>
      <c r="HC32" s="23"/>
      <c r="HD32" s="23"/>
      <c r="HE32" s="23"/>
      <c r="HF32" s="23"/>
      <c r="HG32" s="23"/>
      <c r="HH32" s="23"/>
      <c r="HI32" s="23"/>
      <c r="HJ32" s="23"/>
      <c r="HK32" s="23"/>
      <c r="HL32" s="23"/>
      <c r="HM32" s="23"/>
      <c r="HN32" s="23"/>
      <c r="HO32" s="23"/>
      <c r="HP32" s="23"/>
      <c r="HQ32" s="23"/>
      <c r="HR32" s="23"/>
      <c r="HS32" s="23"/>
      <c r="HT32" s="23"/>
      <c r="HU32" s="23"/>
      <c r="HV32" s="23"/>
      <c r="HW32" s="23"/>
      <c r="HX32" s="23"/>
      <c r="HY32" s="23"/>
      <c r="HZ32" s="23"/>
      <c r="IA32" s="23"/>
      <c r="IB32" s="23"/>
      <c r="IC32" s="23"/>
      <c r="ID32" s="23"/>
      <c r="IE32" s="23"/>
      <c r="IF32" s="23"/>
      <c r="IG32" s="23"/>
      <c r="IH32" s="23"/>
      <c r="II32" s="23"/>
      <c r="IJ32" s="23"/>
      <c r="IK32" s="23"/>
      <c r="IL32" s="23"/>
      <c r="IM32" s="23"/>
      <c r="IN32" s="23"/>
      <c r="IO32" s="23"/>
    </row>
    <row r="33" spans="1:249" ht="45">
      <c r="A33" s="13">
        <v>4</v>
      </c>
      <c r="B33" s="866" t="s">
        <v>1768</v>
      </c>
      <c r="C33" s="27" t="s">
        <v>55</v>
      </c>
      <c r="D33" s="866"/>
      <c r="E33" s="33"/>
      <c r="F33" s="13" t="s">
        <v>1769</v>
      </c>
      <c r="G33" s="13"/>
      <c r="H33" s="13"/>
      <c r="I33" s="98" t="s">
        <v>288</v>
      </c>
      <c r="J33" s="867"/>
      <c r="K33" s="823">
        <v>2100000</v>
      </c>
      <c r="L33" s="823"/>
      <c r="M33" s="823"/>
      <c r="N33" s="823">
        <v>2100000</v>
      </c>
      <c r="O33" s="823"/>
      <c r="P33" s="823"/>
      <c r="Q33" s="823"/>
      <c r="R33" s="823"/>
      <c r="S33" s="823"/>
      <c r="T33" s="823"/>
      <c r="U33" s="823"/>
      <c r="V33" s="823"/>
      <c r="W33" s="823"/>
      <c r="X33" s="823">
        <v>2100000</v>
      </c>
      <c r="Y33" s="831">
        <f>+AB33</f>
        <v>195255</v>
      </c>
      <c r="Z33" s="823"/>
      <c r="AA33" s="823"/>
      <c r="AB33" s="823">
        <f>200000-4745</f>
        <v>195255</v>
      </c>
      <c r="AC33" s="117" t="s">
        <v>1770</v>
      </c>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c r="GH33" s="8"/>
      <c r="GI33" s="8"/>
      <c r="GJ33" s="8"/>
      <c r="GK33" s="8"/>
      <c r="GL33" s="8"/>
      <c r="GM33" s="8"/>
      <c r="GN33" s="8"/>
      <c r="GO33" s="8"/>
      <c r="GP33" s="8"/>
      <c r="GQ33" s="8"/>
      <c r="GR33" s="8"/>
      <c r="GS33" s="8"/>
      <c r="GT33" s="8"/>
      <c r="GU33" s="8"/>
      <c r="GV33" s="8"/>
      <c r="GW33" s="8"/>
      <c r="GX33" s="8"/>
      <c r="GY33" s="8"/>
      <c r="GZ33" s="8"/>
      <c r="HA33" s="8"/>
      <c r="HB33" s="8"/>
      <c r="HC33" s="8"/>
      <c r="HD33" s="8"/>
      <c r="HE33" s="8"/>
      <c r="HF33" s="8"/>
      <c r="HG33" s="8"/>
      <c r="HH33" s="8"/>
      <c r="HI33" s="8"/>
      <c r="HJ33" s="8"/>
      <c r="HK33" s="8"/>
      <c r="HL33" s="8"/>
      <c r="HM33" s="8"/>
      <c r="HN33" s="8"/>
      <c r="HO33" s="8"/>
      <c r="HP33" s="8"/>
      <c r="HQ33" s="8"/>
      <c r="HR33" s="8"/>
      <c r="HS33" s="8"/>
      <c r="HT33" s="8"/>
      <c r="HU33" s="8"/>
      <c r="HV33" s="8"/>
      <c r="HW33" s="8"/>
      <c r="HX33" s="8"/>
      <c r="HY33" s="8"/>
      <c r="HZ33" s="8"/>
      <c r="IA33" s="8"/>
      <c r="IB33" s="8"/>
      <c r="IC33" s="8"/>
      <c r="ID33" s="8"/>
      <c r="IE33" s="8"/>
      <c r="IF33" s="8"/>
      <c r="IG33" s="8"/>
      <c r="IH33" s="8"/>
      <c r="II33" s="8"/>
      <c r="IJ33" s="8"/>
      <c r="IK33" s="8"/>
      <c r="IL33" s="8"/>
      <c r="IM33" s="8"/>
      <c r="IN33" s="8"/>
      <c r="IO33" s="8"/>
    </row>
    <row r="34" spans="1:249" ht="60">
      <c r="A34" s="13">
        <v>5</v>
      </c>
      <c r="B34" s="866" t="s">
        <v>1771</v>
      </c>
      <c r="C34" s="27" t="s">
        <v>55</v>
      </c>
      <c r="D34" s="866"/>
      <c r="E34" s="33"/>
      <c r="F34" s="13" t="s">
        <v>1772</v>
      </c>
      <c r="G34" s="13"/>
      <c r="H34" s="13"/>
      <c r="I34" s="98" t="s">
        <v>288</v>
      </c>
      <c r="J34" s="867"/>
      <c r="K34" s="823">
        <v>2850000</v>
      </c>
      <c r="L34" s="823"/>
      <c r="M34" s="823">
        <v>2000000</v>
      </c>
      <c r="N34" s="823">
        <v>850000</v>
      </c>
      <c r="O34" s="823"/>
      <c r="P34" s="823"/>
      <c r="Q34" s="823"/>
      <c r="R34" s="823"/>
      <c r="S34" s="823"/>
      <c r="T34" s="823"/>
      <c r="U34" s="823"/>
      <c r="V34" s="823"/>
      <c r="W34" s="823"/>
      <c r="X34" s="823">
        <v>2850000</v>
      </c>
      <c r="Y34" s="831">
        <f>+AB34</f>
        <v>100000</v>
      </c>
      <c r="Z34" s="823"/>
      <c r="AA34" s="823"/>
      <c r="AB34" s="823">
        <v>100000</v>
      </c>
      <c r="AC34" s="117" t="s">
        <v>1770</v>
      </c>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c r="CQ34" s="8"/>
      <c r="CR34" s="8"/>
      <c r="CS34" s="8"/>
      <c r="CT34" s="8"/>
      <c r="CU34" s="8"/>
      <c r="CV34" s="8"/>
      <c r="CW34" s="8"/>
      <c r="CX34" s="8"/>
      <c r="CY34" s="8"/>
      <c r="CZ34" s="8"/>
      <c r="DA34" s="8"/>
      <c r="DB34" s="8"/>
      <c r="DC34" s="8"/>
      <c r="DD34" s="8"/>
      <c r="DE34" s="8"/>
      <c r="DF34" s="8"/>
      <c r="DG34" s="8"/>
      <c r="DH34" s="8"/>
      <c r="DI34" s="8"/>
      <c r="DJ34" s="8"/>
      <c r="DK34" s="8"/>
      <c r="DL34" s="8"/>
      <c r="DM34" s="8"/>
      <c r="DN34" s="8"/>
      <c r="DO34" s="8"/>
      <c r="DP34" s="8"/>
      <c r="DQ34" s="8"/>
      <c r="DR34" s="8"/>
      <c r="DS34" s="8"/>
      <c r="DT34" s="8"/>
      <c r="DU34" s="8"/>
      <c r="DV34" s="8"/>
      <c r="DW34" s="8"/>
      <c r="DX34" s="8"/>
      <c r="DY34" s="8"/>
      <c r="DZ34" s="8"/>
      <c r="EA34" s="8"/>
      <c r="EB34" s="8"/>
      <c r="EC34" s="8"/>
      <c r="ED34" s="8"/>
      <c r="EE34" s="8"/>
      <c r="EF34" s="8"/>
      <c r="EG34" s="8"/>
      <c r="EH34" s="8"/>
      <c r="EI34" s="8"/>
      <c r="EJ34" s="8"/>
      <c r="EK34" s="8"/>
      <c r="EL34" s="8"/>
      <c r="EM34" s="8"/>
      <c r="EN34" s="8"/>
      <c r="EO34" s="8"/>
      <c r="EP34" s="8"/>
      <c r="EQ34" s="8"/>
      <c r="ER34" s="8"/>
      <c r="ES34" s="8"/>
      <c r="ET34" s="8"/>
      <c r="EU34" s="8"/>
      <c r="EV34" s="8"/>
      <c r="EW34" s="8"/>
      <c r="EX34" s="8"/>
      <c r="EY34" s="8"/>
      <c r="EZ34" s="8"/>
      <c r="FA34" s="8"/>
      <c r="FB34" s="8"/>
      <c r="FC34" s="8"/>
      <c r="FD34" s="8"/>
      <c r="FE34" s="8"/>
      <c r="FF34" s="8"/>
      <c r="FG34" s="8"/>
      <c r="FH34" s="8"/>
      <c r="FI34" s="8"/>
      <c r="FJ34" s="8"/>
      <c r="FK34" s="8"/>
      <c r="FL34" s="8"/>
      <c r="FM34" s="8"/>
      <c r="FN34" s="8"/>
      <c r="FO34" s="8"/>
      <c r="FP34" s="8"/>
      <c r="FQ34" s="8"/>
      <c r="FR34" s="8"/>
      <c r="FS34" s="8"/>
      <c r="FT34" s="8"/>
      <c r="FU34" s="8"/>
      <c r="FV34" s="8"/>
      <c r="FW34" s="8"/>
      <c r="FX34" s="8"/>
      <c r="FY34" s="8"/>
      <c r="FZ34" s="8"/>
      <c r="GA34" s="8"/>
      <c r="GB34" s="8"/>
      <c r="GC34" s="8"/>
      <c r="GD34" s="8"/>
      <c r="GE34" s="8"/>
      <c r="GF34" s="8"/>
      <c r="GG34" s="8"/>
      <c r="GH34" s="8"/>
      <c r="GI34" s="8"/>
      <c r="GJ34" s="8"/>
      <c r="GK34" s="8"/>
      <c r="GL34" s="8"/>
      <c r="GM34" s="8"/>
      <c r="GN34" s="8"/>
      <c r="GO34" s="8"/>
      <c r="GP34" s="8"/>
      <c r="GQ34" s="8"/>
      <c r="GR34" s="8"/>
      <c r="GS34" s="8"/>
      <c r="GT34" s="8"/>
      <c r="GU34" s="8"/>
      <c r="GV34" s="8"/>
      <c r="GW34" s="8"/>
      <c r="GX34" s="8"/>
      <c r="GY34" s="8"/>
      <c r="GZ34" s="8"/>
      <c r="HA34" s="8"/>
      <c r="HB34" s="8"/>
      <c r="HC34" s="8"/>
      <c r="HD34" s="8"/>
      <c r="HE34" s="8"/>
      <c r="HF34" s="8"/>
      <c r="HG34" s="8"/>
      <c r="HH34" s="8"/>
      <c r="HI34" s="8"/>
      <c r="HJ34" s="8"/>
      <c r="HK34" s="8"/>
      <c r="HL34" s="8"/>
      <c r="HM34" s="8"/>
      <c r="HN34" s="8"/>
      <c r="HO34" s="8"/>
      <c r="HP34" s="8"/>
      <c r="HQ34" s="8"/>
      <c r="HR34" s="8"/>
      <c r="HS34" s="8"/>
      <c r="HT34" s="8"/>
      <c r="HU34" s="8"/>
      <c r="HV34" s="8"/>
      <c r="HW34" s="8"/>
      <c r="HX34" s="8"/>
      <c r="HY34" s="8"/>
      <c r="HZ34" s="8"/>
      <c r="IA34" s="8"/>
      <c r="IB34" s="8"/>
      <c r="IC34" s="8"/>
      <c r="ID34" s="8"/>
      <c r="IE34" s="8"/>
      <c r="IF34" s="8"/>
      <c r="IG34" s="8"/>
      <c r="IH34" s="8"/>
      <c r="II34" s="8"/>
      <c r="IJ34" s="8"/>
      <c r="IK34" s="8"/>
      <c r="IL34" s="8"/>
      <c r="IM34" s="8"/>
      <c r="IN34" s="8"/>
      <c r="IO34" s="8"/>
    </row>
    <row r="35" spans="1:249" ht="45">
      <c r="A35" s="13">
        <v>6</v>
      </c>
      <c r="B35" s="866" t="s">
        <v>1773</v>
      </c>
      <c r="C35" s="27" t="s">
        <v>55</v>
      </c>
      <c r="D35" s="866"/>
      <c r="E35" s="33"/>
      <c r="F35" s="13" t="s">
        <v>1774</v>
      </c>
      <c r="G35" s="13"/>
      <c r="H35" s="13"/>
      <c r="I35" s="98" t="s">
        <v>288</v>
      </c>
      <c r="J35" s="867"/>
      <c r="K35" s="823">
        <v>300000</v>
      </c>
      <c r="L35" s="823"/>
      <c r="M35" s="823"/>
      <c r="N35" s="823">
        <v>300000</v>
      </c>
      <c r="O35" s="823"/>
      <c r="P35" s="823"/>
      <c r="Q35" s="823"/>
      <c r="R35" s="823"/>
      <c r="S35" s="823"/>
      <c r="T35" s="823"/>
      <c r="U35" s="823"/>
      <c r="V35" s="823"/>
      <c r="W35" s="823"/>
      <c r="X35" s="823">
        <v>300000</v>
      </c>
      <c r="Y35" s="823">
        <f>AB35</f>
        <v>45000</v>
      </c>
      <c r="Z35" s="823"/>
      <c r="AA35" s="823"/>
      <c r="AB35" s="823">
        <v>45000</v>
      </c>
      <c r="AC35" s="117" t="s">
        <v>1770</v>
      </c>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8"/>
      <c r="DL35" s="8"/>
      <c r="DM35" s="8"/>
      <c r="DN35" s="8"/>
      <c r="DO35" s="8"/>
      <c r="DP35" s="8"/>
      <c r="DQ35" s="8"/>
      <c r="DR35" s="8"/>
      <c r="DS35" s="8"/>
      <c r="DT35" s="8"/>
      <c r="DU35" s="8"/>
      <c r="DV35" s="8"/>
      <c r="DW35" s="8"/>
      <c r="DX35" s="8"/>
      <c r="DY35" s="8"/>
      <c r="DZ35" s="8"/>
      <c r="EA35" s="8"/>
      <c r="EB35" s="8"/>
      <c r="EC35" s="8"/>
      <c r="ED35" s="8"/>
      <c r="EE35" s="8"/>
      <c r="EF35" s="8"/>
      <c r="EG35" s="8"/>
      <c r="EH35" s="8"/>
      <c r="EI35" s="8"/>
      <c r="EJ35" s="8"/>
      <c r="EK35" s="8"/>
      <c r="EL35" s="8"/>
      <c r="EM35" s="8"/>
      <c r="EN35" s="8"/>
      <c r="EO35" s="8"/>
      <c r="EP35" s="8"/>
      <c r="EQ35" s="8"/>
      <c r="ER35" s="8"/>
      <c r="ES35" s="8"/>
      <c r="ET35" s="8"/>
      <c r="EU35" s="8"/>
      <c r="EV35" s="8"/>
      <c r="EW35" s="8"/>
      <c r="EX35" s="8"/>
      <c r="EY35" s="8"/>
      <c r="EZ35" s="8"/>
      <c r="FA35" s="8"/>
      <c r="FB35" s="8"/>
      <c r="FC35" s="8"/>
      <c r="FD35" s="8"/>
      <c r="FE35" s="8"/>
      <c r="FF35" s="8"/>
      <c r="FG35" s="8"/>
      <c r="FH35" s="8"/>
      <c r="FI35" s="8"/>
      <c r="FJ35" s="8"/>
      <c r="FK35" s="8"/>
      <c r="FL35" s="8"/>
      <c r="FM35" s="8"/>
      <c r="FN35" s="8"/>
      <c r="FO35" s="8"/>
      <c r="FP35" s="8"/>
      <c r="FQ35" s="8"/>
      <c r="FR35" s="8"/>
      <c r="FS35" s="8"/>
      <c r="FT35" s="8"/>
      <c r="FU35" s="8"/>
      <c r="FV35" s="8"/>
      <c r="FW35" s="8"/>
      <c r="FX35" s="8"/>
      <c r="FY35" s="8"/>
      <c r="FZ35" s="8"/>
      <c r="GA35" s="8"/>
      <c r="GB35" s="8"/>
      <c r="GC35" s="8"/>
      <c r="GD35" s="8"/>
      <c r="GE35" s="8"/>
      <c r="GF35" s="8"/>
      <c r="GG35" s="8"/>
      <c r="GH35" s="8"/>
      <c r="GI35" s="8"/>
      <c r="GJ35" s="8"/>
      <c r="GK35" s="8"/>
      <c r="GL35" s="8"/>
      <c r="GM35" s="8"/>
      <c r="GN35" s="8"/>
      <c r="GO35" s="8"/>
      <c r="GP35" s="8"/>
      <c r="GQ35" s="8"/>
      <c r="GR35" s="8"/>
      <c r="GS35" s="8"/>
      <c r="GT35" s="8"/>
      <c r="GU35" s="8"/>
      <c r="GV35" s="8"/>
      <c r="GW35" s="8"/>
      <c r="GX35" s="8"/>
      <c r="GY35" s="8"/>
      <c r="GZ35" s="8"/>
      <c r="HA35" s="8"/>
      <c r="HB35" s="8"/>
      <c r="HC35" s="8"/>
      <c r="HD35" s="8"/>
      <c r="HE35" s="8"/>
      <c r="HF35" s="8"/>
      <c r="HG35" s="8"/>
      <c r="HH35" s="8"/>
      <c r="HI35" s="8"/>
      <c r="HJ35" s="8"/>
      <c r="HK35" s="8"/>
      <c r="HL35" s="8"/>
      <c r="HM35" s="8"/>
      <c r="HN35" s="8"/>
      <c r="HO35" s="8"/>
      <c r="HP35" s="8"/>
      <c r="HQ35" s="8"/>
      <c r="HR35" s="8"/>
      <c r="HS35" s="8"/>
      <c r="HT35" s="8"/>
      <c r="HU35" s="8"/>
      <c r="HV35" s="8"/>
      <c r="HW35" s="8"/>
      <c r="HX35" s="8"/>
      <c r="HY35" s="8"/>
      <c r="HZ35" s="8"/>
      <c r="IA35" s="8"/>
      <c r="IB35" s="8"/>
      <c r="IC35" s="8"/>
      <c r="ID35" s="8"/>
      <c r="IE35" s="8"/>
      <c r="IF35" s="8"/>
      <c r="IG35" s="8"/>
      <c r="IH35" s="8"/>
      <c r="II35" s="8"/>
      <c r="IJ35" s="8"/>
      <c r="IK35" s="8"/>
      <c r="IL35" s="8"/>
      <c r="IM35" s="8"/>
      <c r="IN35" s="8"/>
      <c r="IO35" s="8"/>
    </row>
    <row r="36" spans="1:249" ht="51.75" customHeight="1">
      <c r="A36" s="13">
        <v>7</v>
      </c>
      <c r="B36" s="15" t="s">
        <v>1775</v>
      </c>
      <c r="C36" s="15" t="s">
        <v>966</v>
      </c>
      <c r="D36" s="13"/>
      <c r="E36" s="13"/>
      <c r="F36" s="13" t="s">
        <v>1776</v>
      </c>
      <c r="G36" s="13" t="s">
        <v>1777</v>
      </c>
      <c r="H36" s="13"/>
      <c r="I36" s="21" t="s">
        <v>165</v>
      </c>
      <c r="J36" s="845"/>
      <c r="K36" s="818">
        <v>50000</v>
      </c>
      <c r="L36" s="818"/>
      <c r="M36" s="818"/>
      <c r="N36" s="818">
        <v>50000</v>
      </c>
      <c r="O36" s="818"/>
      <c r="P36" s="823">
        <v>400</v>
      </c>
      <c r="Q36" s="823"/>
      <c r="R36" s="823"/>
      <c r="S36" s="823">
        <v>400</v>
      </c>
      <c r="T36" s="823">
        <v>400</v>
      </c>
      <c r="U36" s="823"/>
      <c r="V36" s="823"/>
      <c r="W36" s="823">
        <v>400</v>
      </c>
      <c r="X36" s="818">
        <f>K36-T36</f>
        <v>49600</v>
      </c>
      <c r="Y36" s="818">
        <f>Z36+AA36+AB36</f>
        <v>20000</v>
      </c>
      <c r="Z36" s="818"/>
      <c r="AA36" s="818"/>
      <c r="AB36" s="818">
        <v>20000</v>
      </c>
      <c r="AC36" s="117" t="s">
        <v>1536</v>
      </c>
      <c r="AD36" s="268"/>
      <c r="AE36" s="268"/>
      <c r="AF36" s="268"/>
      <c r="AG36" s="268"/>
      <c r="AH36" s="268"/>
      <c r="AI36" s="268"/>
      <c r="AJ36" s="268"/>
      <c r="AK36" s="268"/>
      <c r="AL36" s="268"/>
      <c r="AM36" s="268"/>
      <c r="AN36" s="268"/>
      <c r="AO36" s="268"/>
      <c r="AP36" s="268"/>
      <c r="AQ36" s="268"/>
      <c r="AR36" s="268"/>
      <c r="AS36" s="268"/>
      <c r="AT36" s="268"/>
      <c r="AU36" s="268"/>
      <c r="AV36" s="268"/>
      <c r="AW36" s="268"/>
      <c r="AX36" s="268"/>
      <c r="AY36" s="268"/>
      <c r="AZ36" s="268"/>
      <c r="BA36" s="268"/>
      <c r="BB36" s="268"/>
      <c r="BC36" s="268"/>
      <c r="BD36" s="268"/>
      <c r="BE36" s="268"/>
      <c r="BF36" s="268"/>
      <c r="BG36" s="268"/>
      <c r="BH36" s="268"/>
      <c r="BI36" s="268"/>
      <c r="BJ36" s="268"/>
      <c r="BK36" s="268"/>
      <c r="BL36" s="268"/>
      <c r="BM36" s="268"/>
      <c r="BN36" s="268"/>
      <c r="BO36" s="268"/>
      <c r="BP36" s="268"/>
      <c r="BQ36" s="268"/>
      <c r="BR36" s="268"/>
      <c r="BS36" s="268"/>
      <c r="BT36" s="268"/>
      <c r="BU36" s="268"/>
      <c r="BV36" s="268"/>
      <c r="BW36" s="268"/>
      <c r="BX36" s="268"/>
      <c r="BY36" s="268"/>
      <c r="BZ36" s="268"/>
      <c r="CA36" s="268"/>
      <c r="CB36" s="268"/>
      <c r="CC36" s="268"/>
      <c r="CD36" s="268"/>
      <c r="CE36" s="268"/>
      <c r="CF36" s="268"/>
      <c r="CG36" s="268"/>
      <c r="CH36" s="268"/>
      <c r="CI36" s="268"/>
      <c r="CJ36" s="268"/>
      <c r="CK36" s="268"/>
      <c r="CL36" s="268"/>
      <c r="CM36" s="268"/>
      <c r="CN36" s="268"/>
      <c r="CO36" s="268"/>
      <c r="CP36" s="268"/>
      <c r="CQ36" s="268"/>
      <c r="CR36" s="268"/>
      <c r="CS36" s="268"/>
      <c r="CT36" s="268"/>
      <c r="CU36" s="268"/>
      <c r="CV36" s="268"/>
      <c r="CW36" s="268"/>
      <c r="CX36" s="268"/>
      <c r="CY36" s="268"/>
      <c r="CZ36" s="268"/>
      <c r="DA36" s="268"/>
      <c r="DB36" s="268"/>
      <c r="DC36" s="268"/>
      <c r="DD36" s="268"/>
      <c r="DE36" s="268"/>
      <c r="DF36" s="268"/>
      <c r="DG36" s="268"/>
      <c r="DH36" s="268"/>
      <c r="DI36" s="268"/>
      <c r="DJ36" s="268"/>
      <c r="DK36" s="268"/>
      <c r="DL36" s="268"/>
      <c r="DM36" s="268"/>
      <c r="DN36" s="268"/>
      <c r="DO36" s="268"/>
      <c r="DP36" s="268"/>
      <c r="DQ36" s="268"/>
      <c r="DR36" s="268"/>
      <c r="DS36" s="268"/>
      <c r="DT36" s="268"/>
      <c r="DU36" s="268"/>
      <c r="DV36" s="268"/>
      <c r="DW36" s="268"/>
      <c r="DX36" s="268"/>
      <c r="DY36" s="268"/>
      <c r="DZ36" s="268"/>
      <c r="EA36" s="268"/>
      <c r="EB36" s="268"/>
      <c r="EC36" s="268"/>
      <c r="ED36" s="268"/>
      <c r="EE36" s="268"/>
      <c r="EF36" s="268"/>
      <c r="EG36" s="268"/>
      <c r="EH36" s="268"/>
      <c r="EI36" s="268"/>
      <c r="EJ36" s="268"/>
      <c r="EK36" s="268"/>
      <c r="EL36" s="268"/>
      <c r="EM36" s="268"/>
      <c r="EN36" s="268"/>
      <c r="EO36" s="268"/>
      <c r="EP36" s="268"/>
      <c r="EQ36" s="268"/>
      <c r="ER36" s="268"/>
      <c r="ES36" s="268"/>
      <c r="ET36" s="268"/>
      <c r="EU36" s="268"/>
      <c r="EV36" s="268"/>
      <c r="EW36" s="268"/>
      <c r="EX36" s="268"/>
      <c r="EY36" s="268"/>
      <c r="EZ36" s="268"/>
      <c r="FA36" s="268"/>
      <c r="FB36" s="268"/>
      <c r="FC36" s="268"/>
      <c r="FD36" s="268"/>
      <c r="FE36" s="268"/>
      <c r="FF36" s="268"/>
      <c r="FG36" s="268"/>
      <c r="FH36" s="268"/>
      <c r="FI36" s="268"/>
      <c r="FJ36" s="268"/>
      <c r="FK36" s="268"/>
      <c r="FL36" s="268"/>
      <c r="FM36" s="268"/>
      <c r="FN36" s="268"/>
      <c r="FO36" s="268"/>
      <c r="FP36" s="268"/>
      <c r="FQ36" s="268"/>
      <c r="FR36" s="268"/>
      <c r="FS36" s="268"/>
      <c r="FT36" s="268"/>
      <c r="FU36" s="268"/>
      <c r="FV36" s="268"/>
      <c r="FW36" s="268"/>
      <c r="FX36" s="268"/>
      <c r="FY36" s="268"/>
      <c r="FZ36" s="268"/>
      <c r="GA36" s="268"/>
      <c r="GB36" s="268"/>
      <c r="GC36" s="268"/>
      <c r="GD36" s="268"/>
      <c r="GE36" s="268"/>
      <c r="GF36" s="268"/>
      <c r="GG36" s="268"/>
      <c r="GH36" s="268"/>
      <c r="GI36" s="268"/>
      <c r="GJ36" s="268"/>
      <c r="GK36" s="268"/>
      <c r="GL36" s="268"/>
      <c r="GM36" s="268"/>
      <c r="GN36" s="268"/>
      <c r="GO36" s="268"/>
      <c r="GP36" s="268"/>
      <c r="GQ36" s="268"/>
      <c r="GR36" s="268"/>
      <c r="GS36" s="268"/>
      <c r="GT36" s="268"/>
      <c r="GU36" s="268"/>
      <c r="GV36" s="268"/>
      <c r="GW36" s="268"/>
      <c r="GX36" s="268"/>
      <c r="GY36" s="268"/>
      <c r="GZ36" s="268"/>
      <c r="HA36" s="268"/>
      <c r="HB36" s="268"/>
      <c r="HC36" s="268"/>
      <c r="HD36" s="268"/>
      <c r="HE36" s="268"/>
      <c r="HF36" s="268"/>
      <c r="HG36" s="268"/>
      <c r="HH36" s="268"/>
      <c r="HI36" s="268"/>
      <c r="HJ36" s="268"/>
      <c r="HK36" s="268"/>
      <c r="HL36" s="268"/>
      <c r="HM36" s="268"/>
      <c r="HN36" s="268"/>
      <c r="HO36" s="268"/>
      <c r="HP36" s="268"/>
      <c r="HQ36" s="268"/>
      <c r="HR36" s="268"/>
      <c r="HS36" s="268"/>
      <c r="HT36" s="268"/>
      <c r="HU36" s="268"/>
      <c r="HV36" s="268"/>
      <c r="HW36" s="268"/>
      <c r="HX36" s="268"/>
      <c r="HY36" s="268"/>
      <c r="HZ36" s="268"/>
      <c r="IA36" s="268"/>
      <c r="IB36" s="268"/>
      <c r="IC36" s="268"/>
      <c r="ID36" s="268"/>
      <c r="IE36" s="268"/>
      <c r="IF36" s="268"/>
      <c r="IG36" s="268"/>
      <c r="IH36" s="268"/>
      <c r="II36" s="268"/>
      <c r="IJ36" s="268"/>
      <c r="IK36" s="268"/>
      <c r="IL36" s="268"/>
      <c r="IM36" s="268"/>
      <c r="IN36" s="268"/>
      <c r="IO36" s="268"/>
    </row>
    <row r="37" spans="1:249" s="325" customFormat="1" ht="60">
      <c r="A37" s="13">
        <v>8</v>
      </c>
      <c r="B37" s="868" t="s">
        <v>1612</v>
      </c>
      <c r="C37" s="15" t="s">
        <v>62</v>
      </c>
      <c r="D37" s="868"/>
      <c r="E37" s="869"/>
      <c r="F37" s="870" t="s">
        <v>217</v>
      </c>
      <c r="G37" s="13" t="s">
        <v>468</v>
      </c>
      <c r="H37" s="13"/>
      <c r="I37" s="871" t="s">
        <v>288</v>
      </c>
      <c r="J37" s="872" t="s">
        <v>469</v>
      </c>
      <c r="K37" s="873">
        <v>4712327</v>
      </c>
      <c r="L37" s="832"/>
      <c r="M37" s="832"/>
      <c r="N37" s="832"/>
      <c r="O37" s="832"/>
      <c r="P37" s="833">
        <f>Q37+R37+S37</f>
        <v>5690</v>
      </c>
      <c r="Q37" s="833"/>
      <c r="R37" s="818"/>
      <c r="S37" s="833">
        <v>5690</v>
      </c>
      <c r="T37" s="833">
        <v>5690</v>
      </c>
      <c r="U37" s="818"/>
      <c r="V37" s="818"/>
      <c r="W37" s="833">
        <v>5690</v>
      </c>
      <c r="X37" s="818">
        <f>K37-T37</f>
        <v>4706637</v>
      </c>
      <c r="Y37" s="818">
        <f>Z37+AA37+AB37</f>
        <v>5000</v>
      </c>
      <c r="Z37" s="833"/>
      <c r="AA37" s="833"/>
      <c r="AB37" s="833">
        <v>5000</v>
      </c>
      <c r="AC37" s="13" t="s">
        <v>62</v>
      </c>
      <c r="AD37" s="118"/>
      <c r="AE37" s="118"/>
      <c r="AF37" s="118"/>
      <c r="AG37" s="118"/>
      <c r="AH37" s="118"/>
      <c r="AI37" s="118"/>
      <c r="AJ37" s="118"/>
      <c r="AK37" s="118"/>
      <c r="AL37" s="118"/>
      <c r="AM37" s="118"/>
      <c r="AN37" s="118"/>
      <c r="AO37" s="118"/>
      <c r="AP37" s="118"/>
      <c r="AQ37" s="118"/>
      <c r="AR37" s="118"/>
      <c r="AS37" s="118"/>
      <c r="AT37" s="118"/>
      <c r="AU37" s="118"/>
      <c r="AV37" s="118"/>
      <c r="AW37" s="118"/>
      <c r="AX37" s="118"/>
      <c r="AY37" s="118"/>
      <c r="AZ37" s="118"/>
      <c r="BA37" s="118"/>
      <c r="BB37" s="118"/>
      <c r="BC37" s="118"/>
      <c r="BD37" s="118"/>
      <c r="BE37" s="118"/>
      <c r="BF37" s="118"/>
      <c r="BG37" s="118"/>
      <c r="BH37" s="118"/>
      <c r="BI37" s="118"/>
      <c r="BJ37" s="118"/>
      <c r="BK37" s="118"/>
      <c r="BL37" s="118"/>
      <c r="BM37" s="118"/>
      <c r="BN37" s="118"/>
      <c r="BO37" s="118"/>
      <c r="BP37" s="118"/>
      <c r="BQ37" s="118"/>
      <c r="BR37" s="118"/>
      <c r="BS37" s="118"/>
      <c r="BT37" s="118"/>
      <c r="BU37" s="118"/>
      <c r="BV37" s="118"/>
      <c r="BW37" s="118"/>
      <c r="BX37" s="118"/>
      <c r="BY37" s="118"/>
      <c r="BZ37" s="118"/>
      <c r="CA37" s="118"/>
      <c r="CB37" s="118"/>
      <c r="CC37" s="118"/>
      <c r="CD37" s="118"/>
      <c r="CE37" s="118"/>
      <c r="CF37" s="118"/>
      <c r="CG37" s="118"/>
      <c r="CH37" s="118"/>
      <c r="CI37" s="118"/>
      <c r="CJ37" s="118"/>
      <c r="CK37" s="118"/>
      <c r="CL37" s="118"/>
      <c r="CM37" s="118"/>
      <c r="CN37" s="118"/>
      <c r="CO37" s="118"/>
      <c r="CP37" s="118"/>
      <c r="CQ37" s="118"/>
      <c r="CR37" s="118"/>
      <c r="CS37" s="118"/>
      <c r="CT37" s="118"/>
      <c r="CU37" s="118"/>
      <c r="CV37" s="118"/>
      <c r="CW37" s="118"/>
      <c r="CX37" s="118"/>
      <c r="CY37" s="118"/>
      <c r="CZ37" s="118"/>
      <c r="DA37" s="118"/>
      <c r="DB37" s="118"/>
      <c r="DC37" s="118"/>
      <c r="DD37" s="118"/>
      <c r="DE37" s="118"/>
      <c r="DF37" s="118"/>
      <c r="DG37" s="118"/>
      <c r="DH37" s="118"/>
      <c r="DI37" s="118"/>
      <c r="DJ37" s="118"/>
      <c r="DK37" s="118"/>
      <c r="DL37" s="118"/>
      <c r="DM37" s="118"/>
      <c r="DN37" s="118"/>
      <c r="DO37" s="118"/>
      <c r="DP37" s="118"/>
      <c r="DQ37" s="118"/>
      <c r="DR37" s="118"/>
      <c r="DS37" s="118"/>
      <c r="DT37" s="118"/>
      <c r="DU37" s="118"/>
      <c r="DV37" s="118"/>
      <c r="DW37" s="118"/>
      <c r="DX37" s="118"/>
      <c r="DY37" s="118"/>
      <c r="DZ37" s="118"/>
      <c r="EA37" s="118"/>
      <c r="EB37" s="118"/>
      <c r="EC37" s="118"/>
      <c r="ED37" s="118"/>
      <c r="EE37" s="118"/>
      <c r="EF37" s="118"/>
      <c r="EG37" s="118"/>
      <c r="EH37" s="118"/>
      <c r="EI37" s="118"/>
      <c r="EJ37" s="118"/>
      <c r="EK37" s="118"/>
      <c r="EL37" s="118"/>
      <c r="EM37" s="118"/>
      <c r="EN37" s="118"/>
      <c r="EO37" s="118"/>
      <c r="EP37" s="118"/>
      <c r="EQ37" s="118"/>
      <c r="ER37" s="118"/>
      <c r="ES37" s="118"/>
      <c r="ET37" s="118"/>
      <c r="EU37" s="118"/>
      <c r="EV37" s="118"/>
      <c r="EW37" s="118"/>
      <c r="EX37" s="118"/>
      <c r="EY37" s="118"/>
      <c r="EZ37" s="118"/>
      <c r="FA37" s="118"/>
      <c r="FB37" s="118"/>
      <c r="FC37" s="118"/>
      <c r="FD37" s="118"/>
      <c r="FE37" s="118"/>
      <c r="FF37" s="118"/>
      <c r="FG37" s="118"/>
      <c r="FH37" s="118"/>
      <c r="FI37" s="118"/>
      <c r="FJ37" s="118"/>
      <c r="FK37" s="118"/>
      <c r="FL37" s="118"/>
      <c r="FM37" s="118"/>
      <c r="FN37" s="118"/>
      <c r="FO37" s="118"/>
      <c r="FP37" s="118"/>
      <c r="FQ37" s="118"/>
      <c r="FR37" s="118"/>
      <c r="FS37" s="118"/>
      <c r="FT37" s="118"/>
      <c r="FU37" s="118"/>
      <c r="FV37" s="118"/>
      <c r="FW37" s="118"/>
      <c r="FX37" s="118"/>
      <c r="FY37" s="118"/>
      <c r="FZ37" s="118"/>
      <c r="GA37" s="118"/>
      <c r="GB37" s="118"/>
      <c r="GC37" s="118"/>
      <c r="GD37" s="118"/>
      <c r="GE37" s="118"/>
      <c r="GF37" s="118"/>
      <c r="GG37" s="118"/>
      <c r="GH37" s="118"/>
      <c r="GI37" s="118"/>
      <c r="GJ37" s="118"/>
      <c r="GK37" s="118"/>
      <c r="GL37" s="118"/>
      <c r="GM37" s="118"/>
      <c r="GN37" s="118"/>
      <c r="GO37" s="118"/>
      <c r="GP37" s="118"/>
      <c r="GQ37" s="118"/>
      <c r="GR37" s="118"/>
      <c r="GS37" s="118"/>
      <c r="GT37" s="118"/>
      <c r="GU37" s="118"/>
      <c r="GV37" s="118"/>
      <c r="GW37" s="118"/>
      <c r="GX37" s="118"/>
      <c r="GY37" s="118"/>
      <c r="GZ37" s="118"/>
      <c r="HA37" s="118"/>
      <c r="HB37" s="118"/>
      <c r="HC37" s="118"/>
      <c r="HD37" s="118"/>
      <c r="HE37" s="118"/>
      <c r="HF37" s="118"/>
      <c r="HG37" s="118"/>
      <c r="HH37" s="118"/>
      <c r="HI37" s="118"/>
      <c r="HJ37" s="118"/>
      <c r="HK37" s="118"/>
      <c r="HL37" s="118"/>
      <c r="HM37" s="118"/>
      <c r="HN37" s="118"/>
      <c r="HO37" s="118"/>
      <c r="HP37" s="118"/>
      <c r="HQ37" s="118"/>
      <c r="HR37" s="118"/>
      <c r="HS37" s="118"/>
      <c r="HT37" s="118"/>
      <c r="HU37" s="118"/>
      <c r="HV37" s="118"/>
      <c r="HW37" s="118"/>
      <c r="HX37" s="118"/>
      <c r="HY37" s="118"/>
      <c r="HZ37" s="118"/>
      <c r="IA37" s="118"/>
      <c r="IB37" s="118"/>
      <c r="IC37" s="118"/>
      <c r="ID37" s="118"/>
      <c r="IE37" s="118"/>
      <c r="IF37" s="118"/>
      <c r="IG37" s="118"/>
      <c r="IH37" s="118"/>
      <c r="II37" s="118"/>
      <c r="IJ37" s="118"/>
      <c r="IK37" s="118"/>
      <c r="IL37" s="118"/>
      <c r="IM37" s="118"/>
      <c r="IN37" s="118"/>
      <c r="IO37" s="118"/>
    </row>
    <row r="38" spans="1:249" ht="63.75" customHeight="1">
      <c r="A38" s="173">
        <v>9</v>
      </c>
      <c r="B38" s="874" t="s">
        <v>1870</v>
      </c>
      <c r="C38" s="198"/>
      <c r="D38" s="874"/>
      <c r="E38" s="875"/>
      <c r="F38" s="876"/>
      <c r="G38" s="173"/>
      <c r="H38" s="173"/>
      <c r="I38" s="877" t="s">
        <v>136</v>
      </c>
      <c r="J38" s="878" t="s">
        <v>1873</v>
      </c>
      <c r="K38" s="879">
        <v>196034</v>
      </c>
      <c r="L38" s="880"/>
      <c r="M38" s="880"/>
      <c r="N38" s="879">
        <v>196034</v>
      </c>
      <c r="O38" s="880"/>
      <c r="P38" s="881"/>
      <c r="Q38" s="881"/>
      <c r="R38" s="825"/>
      <c r="S38" s="881"/>
      <c r="T38" s="881"/>
      <c r="U38" s="825"/>
      <c r="V38" s="825"/>
      <c r="W38" s="881"/>
      <c r="X38" s="825"/>
      <c r="Y38" s="881">
        <v>50000</v>
      </c>
      <c r="Z38" s="881"/>
      <c r="AA38" s="881"/>
      <c r="AB38" s="881">
        <v>50000</v>
      </c>
      <c r="AC38" s="173" t="s">
        <v>1875</v>
      </c>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23"/>
      <c r="BO38" s="23"/>
      <c r="BP38" s="23"/>
      <c r="BQ38" s="23"/>
      <c r="BR38" s="23"/>
      <c r="BS38" s="23"/>
      <c r="BT38" s="23"/>
      <c r="BU38" s="23"/>
      <c r="BV38" s="23"/>
      <c r="BW38" s="23"/>
      <c r="BX38" s="23"/>
      <c r="BY38" s="23"/>
      <c r="BZ38" s="23"/>
      <c r="CA38" s="23"/>
      <c r="CB38" s="23"/>
      <c r="CC38" s="23"/>
      <c r="CD38" s="23"/>
      <c r="CE38" s="23"/>
      <c r="CF38" s="23"/>
      <c r="CG38" s="23"/>
      <c r="CH38" s="23"/>
      <c r="CI38" s="23"/>
      <c r="CJ38" s="23"/>
      <c r="CK38" s="23"/>
      <c r="CL38" s="23"/>
      <c r="CM38" s="23"/>
      <c r="CN38" s="23"/>
      <c r="CO38" s="23"/>
      <c r="CP38" s="23"/>
      <c r="CQ38" s="23"/>
      <c r="CR38" s="23"/>
      <c r="CS38" s="23"/>
      <c r="CT38" s="23"/>
      <c r="CU38" s="23"/>
      <c r="CV38" s="23"/>
      <c r="CW38" s="23"/>
      <c r="CX38" s="23"/>
      <c r="CY38" s="23"/>
      <c r="CZ38" s="23"/>
      <c r="DA38" s="23"/>
      <c r="DB38" s="23"/>
      <c r="DC38" s="23"/>
      <c r="DD38" s="23"/>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23"/>
      <c r="GQ38" s="23"/>
      <c r="GR38" s="23"/>
      <c r="GS38" s="23"/>
      <c r="GT38" s="23"/>
      <c r="GU38" s="23"/>
      <c r="GV38" s="23"/>
      <c r="GW38" s="23"/>
      <c r="GX38" s="23"/>
      <c r="GY38" s="23"/>
      <c r="GZ38" s="23"/>
      <c r="HA38" s="23"/>
      <c r="HB38" s="23"/>
      <c r="HC38" s="23"/>
      <c r="HD38" s="23"/>
      <c r="HE38" s="23"/>
      <c r="HF38" s="23"/>
      <c r="HG38" s="23"/>
      <c r="HH38" s="23"/>
      <c r="HI38" s="23"/>
      <c r="HJ38" s="23"/>
      <c r="HK38" s="23"/>
      <c r="HL38" s="23"/>
      <c r="HM38" s="23"/>
      <c r="HN38" s="23"/>
      <c r="HO38" s="23"/>
      <c r="HP38" s="23"/>
      <c r="HQ38" s="23"/>
      <c r="HR38" s="23"/>
      <c r="HS38" s="23"/>
      <c r="HT38" s="23"/>
      <c r="HU38" s="23"/>
      <c r="HV38" s="23"/>
      <c r="HW38" s="23"/>
      <c r="HX38" s="23"/>
      <c r="HY38" s="23"/>
      <c r="HZ38" s="23"/>
      <c r="IA38" s="23"/>
      <c r="IB38" s="23"/>
      <c r="IC38" s="23"/>
      <c r="ID38" s="23"/>
      <c r="IE38" s="23"/>
      <c r="IF38" s="23"/>
      <c r="IG38" s="23"/>
      <c r="IH38" s="23"/>
      <c r="II38" s="23"/>
      <c r="IJ38" s="23"/>
      <c r="IK38" s="23"/>
      <c r="IL38" s="23"/>
      <c r="IM38" s="23"/>
      <c r="IN38" s="23"/>
      <c r="IO38" s="23"/>
    </row>
    <row r="39" spans="1:249" s="266" customFormat="1" ht="38.25" customHeight="1">
      <c r="A39" s="320" t="s">
        <v>1778</v>
      </c>
      <c r="B39" s="882" t="s">
        <v>1779</v>
      </c>
      <c r="C39" s="317"/>
      <c r="D39" s="882"/>
      <c r="E39" s="883"/>
      <c r="F39" s="884"/>
      <c r="G39" s="320"/>
      <c r="H39" s="320"/>
      <c r="I39" s="844"/>
      <c r="J39" s="885"/>
      <c r="K39" s="886">
        <f>SUM(K40:K48)</f>
        <v>879616</v>
      </c>
      <c r="L39" s="886">
        <f t="shared" ref="L39:AB39" si="11">SUM(L40:L48)</f>
        <v>0</v>
      </c>
      <c r="M39" s="886">
        <f t="shared" si="11"/>
        <v>0</v>
      </c>
      <c r="N39" s="886">
        <f t="shared" si="11"/>
        <v>879616</v>
      </c>
      <c r="O39" s="886">
        <f t="shared" si="11"/>
        <v>0</v>
      </c>
      <c r="P39" s="886">
        <f t="shared" si="11"/>
        <v>3000</v>
      </c>
      <c r="Q39" s="886">
        <f t="shared" si="11"/>
        <v>0</v>
      </c>
      <c r="R39" s="886">
        <f t="shared" si="11"/>
        <v>0</v>
      </c>
      <c r="S39" s="886">
        <f t="shared" si="11"/>
        <v>3000</v>
      </c>
      <c r="T39" s="886">
        <f t="shared" si="11"/>
        <v>3000</v>
      </c>
      <c r="U39" s="886">
        <f t="shared" si="11"/>
        <v>0</v>
      </c>
      <c r="V39" s="886">
        <f t="shared" si="11"/>
        <v>0</v>
      </c>
      <c r="W39" s="886">
        <f t="shared" si="11"/>
        <v>3000</v>
      </c>
      <c r="X39" s="886">
        <f t="shared" si="11"/>
        <v>876616</v>
      </c>
      <c r="Y39" s="886">
        <f>SUM(Y40:Y48)</f>
        <v>125000</v>
      </c>
      <c r="Z39" s="886"/>
      <c r="AA39" s="886"/>
      <c r="AB39" s="886">
        <f t="shared" si="11"/>
        <v>125000</v>
      </c>
      <c r="AC39" s="320"/>
      <c r="AD39" s="231"/>
      <c r="AE39" s="231"/>
      <c r="AF39" s="231"/>
      <c r="AG39" s="231"/>
      <c r="AH39" s="231"/>
      <c r="AI39" s="231"/>
      <c r="AJ39" s="231"/>
      <c r="AK39" s="231"/>
      <c r="AL39" s="231"/>
      <c r="AM39" s="231"/>
      <c r="AN39" s="231"/>
      <c r="AO39" s="231"/>
      <c r="AP39" s="231"/>
      <c r="AQ39" s="231"/>
      <c r="AR39" s="231"/>
      <c r="AS39" s="231"/>
      <c r="AT39" s="231"/>
      <c r="AU39" s="231"/>
      <c r="AV39" s="231"/>
      <c r="AW39" s="231"/>
      <c r="AX39" s="231"/>
      <c r="AY39" s="231"/>
      <c r="AZ39" s="231"/>
      <c r="BA39" s="231"/>
      <c r="BB39" s="231"/>
      <c r="BC39" s="231"/>
      <c r="BD39" s="231"/>
      <c r="BE39" s="231"/>
      <c r="BF39" s="231"/>
      <c r="BG39" s="231"/>
      <c r="BH39" s="231"/>
      <c r="BI39" s="231"/>
      <c r="BJ39" s="231"/>
      <c r="BK39" s="231"/>
      <c r="BL39" s="231"/>
      <c r="BM39" s="231"/>
      <c r="BN39" s="231"/>
      <c r="BO39" s="231"/>
      <c r="BP39" s="231"/>
      <c r="BQ39" s="231"/>
      <c r="BR39" s="231"/>
      <c r="BS39" s="231"/>
      <c r="BT39" s="231"/>
      <c r="BU39" s="231"/>
      <c r="BV39" s="231"/>
      <c r="BW39" s="231"/>
      <c r="BX39" s="231"/>
      <c r="BY39" s="231"/>
      <c r="BZ39" s="231"/>
      <c r="CA39" s="231"/>
      <c r="CB39" s="231"/>
      <c r="CC39" s="231"/>
      <c r="CD39" s="231"/>
      <c r="CE39" s="231"/>
      <c r="CF39" s="231"/>
      <c r="CG39" s="231"/>
      <c r="CH39" s="231"/>
      <c r="CI39" s="231"/>
      <c r="CJ39" s="231"/>
      <c r="CK39" s="231"/>
      <c r="CL39" s="231"/>
      <c r="CM39" s="231"/>
      <c r="CN39" s="231"/>
      <c r="CO39" s="231"/>
      <c r="CP39" s="231"/>
      <c r="CQ39" s="231"/>
      <c r="CR39" s="231"/>
      <c r="CS39" s="231"/>
      <c r="CT39" s="231"/>
      <c r="CU39" s="231"/>
      <c r="CV39" s="231"/>
      <c r="CW39" s="231"/>
      <c r="CX39" s="231"/>
      <c r="CY39" s="231"/>
      <c r="CZ39" s="231"/>
      <c r="DA39" s="231"/>
      <c r="DB39" s="231"/>
      <c r="DC39" s="231"/>
      <c r="DD39" s="231"/>
      <c r="DE39" s="231"/>
      <c r="DF39" s="231"/>
      <c r="DG39" s="231"/>
      <c r="DH39" s="231"/>
      <c r="DI39" s="231"/>
      <c r="DJ39" s="231"/>
      <c r="DK39" s="231"/>
      <c r="DL39" s="231"/>
      <c r="DM39" s="231"/>
      <c r="DN39" s="231"/>
      <c r="DO39" s="231"/>
      <c r="DP39" s="231"/>
      <c r="DQ39" s="231"/>
      <c r="DR39" s="231"/>
      <c r="DS39" s="231"/>
      <c r="DT39" s="231"/>
      <c r="DU39" s="231"/>
      <c r="DV39" s="231"/>
      <c r="DW39" s="231"/>
      <c r="DX39" s="231"/>
      <c r="DY39" s="231"/>
      <c r="DZ39" s="231"/>
      <c r="EA39" s="231"/>
      <c r="EB39" s="231"/>
      <c r="EC39" s="231"/>
      <c r="ED39" s="231"/>
      <c r="EE39" s="231"/>
      <c r="EF39" s="231"/>
      <c r="EG39" s="231"/>
      <c r="EH39" s="231"/>
      <c r="EI39" s="231"/>
      <c r="EJ39" s="231"/>
      <c r="EK39" s="231"/>
      <c r="EL39" s="231"/>
      <c r="EM39" s="231"/>
      <c r="EN39" s="231"/>
      <c r="EO39" s="231"/>
      <c r="EP39" s="231"/>
      <c r="EQ39" s="231"/>
      <c r="ER39" s="231"/>
      <c r="ES39" s="231"/>
      <c r="ET39" s="231"/>
      <c r="EU39" s="231"/>
      <c r="EV39" s="231"/>
      <c r="EW39" s="231"/>
      <c r="EX39" s="231"/>
      <c r="EY39" s="231"/>
      <c r="EZ39" s="231"/>
      <c r="FA39" s="231"/>
      <c r="FB39" s="231"/>
      <c r="FC39" s="231"/>
      <c r="FD39" s="231"/>
      <c r="FE39" s="231"/>
      <c r="FF39" s="231"/>
      <c r="FG39" s="231"/>
      <c r="FH39" s="231"/>
      <c r="FI39" s="231"/>
      <c r="FJ39" s="231"/>
      <c r="FK39" s="231"/>
      <c r="FL39" s="231"/>
      <c r="FM39" s="231"/>
      <c r="FN39" s="231"/>
      <c r="FO39" s="231"/>
      <c r="FP39" s="231"/>
      <c r="FQ39" s="231"/>
      <c r="FR39" s="231"/>
      <c r="FS39" s="231"/>
      <c r="FT39" s="231"/>
      <c r="FU39" s="231"/>
      <c r="FV39" s="231"/>
      <c r="FW39" s="231"/>
      <c r="FX39" s="231"/>
      <c r="FY39" s="231"/>
      <c r="FZ39" s="231"/>
      <c r="GA39" s="231"/>
      <c r="GB39" s="231"/>
      <c r="GC39" s="231"/>
      <c r="GD39" s="231"/>
      <c r="GE39" s="231"/>
      <c r="GF39" s="231"/>
      <c r="GG39" s="231"/>
      <c r="GH39" s="231"/>
      <c r="GI39" s="231"/>
      <c r="GJ39" s="231"/>
      <c r="GK39" s="231"/>
      <c r="GL39" s="231"/>
      <c r="GM39" s="231"/>
      <c r="GN39" s="231"/>
      <c r="GO39" s="231"/>
      <c r="GP39" s="231"/>
      <c r="GQ39" s="231"/>
      <c r="GR39" s="231"/>
      <c r="GS39" s="231"/>
      <c r="GT39" s="231"/>
      <c r="GU39" s="231"/>
      <c r="GV39" s="231"/>
      <c r="GW39" s="231"/>
      <c r="GX39" s="231"/>
      <c r="GY39" s="231"/>
      <c r="GZ39" s="231"/>
      <c r="HA39" s="231"/>
      <c r="HB39" s="231"/>
      <c r="HC39" s="231"/>
      <c r="HD39" s="231"/>
      <c r="HE39" s="231"/>
      <c r="HF39" s="231"/>
      <c r="HG39" s="231"/>
      <c r="HH39" s="231"/>
      <c r="HI39" s="231"/>
      <c r="HJ39" s="231"/>
      <c r="HK39" s="231"/>
      <c r="HL39" s="231"/>
      <c r="HM39" s="231"/>
      <c r="HN39" s="231"/>
      <c r="HO39" s="231"/>
      <c r="HP39" s="231"/>
      <c r="HQ39" s="231"/>
      <c r="HR39" s="231"/>
      <c r="HS39" s="231"/>
      <c r="HT39" s="231"/>
      <c r="HU39" s="231"/>
      <c r="HV39" s="231"/>
      <c r="HW39" s="231"/>
      <c r="HX39" s="231"/>
      <c r="HY39" s="231"/>
      <c r="HZ39" s="231"/>
      <c r="IA39" s="231"/>
      <c r="IB39" s="231"/>
      <c r="IC39" s="231"/>
      <c r="ID39" s="231"/>
      <c r="IE39" s="231"/>
      <c r="IF39" s="231"/>
      <c r="IG39" s="231"/>
      <c r="IH39" s="231"/>
      <c r="II39" s="231"/>
      <c r="IJ39" s="231"/>
      <c r="IK39" s="231"/>
      <c r="IL39" s="231"/>
      <c r="IM39" s="231"/>
      <c r="IN39" s="231"/>
      <c r="IO39" s="231"/>
    </row>
    <row r="40" spans="1:249" ht="56.25" customHeight="1">
      <c r="A40" s="13">
        <v>1</v>
      </c>
      <c r="B40" s="839" t="s">
        <v>1780</v>
      </c>
      <c r="C40" s="320"/>
      <c r="D40" s="320"/>
      <c r="E40" s="320"/>
      <c r="F40" s="173" t="s">
        <v>115</v>
      </c>
      <c r="G40" s="173" t="s">
        <v>1781</v>
      </c>
      <c r="H40" s="320"/>
      <c r="I40" s="21" t="s">
        <v>288</v>
      </c>
      <c r="J40" s="838"/>
      <c r="K40" s="887">
        <v>90000</v>
      </c>
      <c r="L40" s="834"/>
      <c r="M40" s="817"/>
      <c r="N40" s="887">
        <v>90000</v>
      </c>
      <c r="O40" s="817"/>
      <c r="P40" s="817"/>
      <c r="Q40" s="817"/>
      <c r="R40" s="817"/>
      <c r="S40" s="817"/>
      <c r="T40" s="817"/>
      <c r="U40" s="817"/>
      <c r="V40" s="817"/>
      <c r="W40" s="817"/>
      <c r="X40" s="819">
        <v>90000</v>
      </c>
      <c r="Y40" s="833">
        <f>AB40</f>
        <v>12000</v>
      </c>
      <c r="Z40" s="817"/>
      <c r="AA40" s="817"/>
      <c r="AB40" s="833">
        <v>12000</v>
      </c>
      <c r="AC40" s="21" t="s">
        <v>80</v>
      </c>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c r="FO40" s="8"/>
      <c r="FP40" s="8"/>
      <c r="FQ40" s="8"/>
      <c r="FR40" s="8"/>
      <c r="FS40" s="8"/>
      <c r="FT40" s="8"/>
      <c r="FU40" s="8"/>
      <c r="FV40" s="8"/>
      <c r="FW40" s="8"/>
      <c r="FX40" s="8"/>
      <c r="FY40" s="8"/>
      <c r="FZ40" s="8"/>
      <c r="GA40" s="8"/>
      <c r="GB40" s="8"/>
      <c r="GC40" s="8"/>
      <c r="GD40" s="8"/>
      <c r="GE40" s="8"/>
      <c r="GF40" s="8"/>
      <c r="GG40" s="8"/>
      <c r="GH40" s="8"/>
      <c r="GI40" s="8"/>
      <c r="GJ40" s="8"/>
      <c r="GK40" s="8"/>
      <c r="GL40" s="8"/>
      <c r="GM40" s="8"/>
      <c r="GN40" s="8"/>
      <c r="GO40" s="8"/>
      <c r="GP40" s="8"/>
      <c r="GQ40" s="8"/>
      <c r="GR40" s="8"/>
      <c r="GS40" s="8"/>
      <c r="GT40" s="8"/>
      <c r="GU40" s="8"/>
      <c r="GV40" s="8"/>
      <c r="GW40" s="8"/>
      <c r="GX40" s="8"/>
      <c r="GY40" s="8"/>
      <c r="GZ40" s="8"/>
      <c r="HA40" s="8"/>
      <c r="HB40" s="8"/>
      <c r="HC40" s="8"/>
      <c r="HD40" s="8"/>
      <c r="HE40" s="8"/>
      <c r="HF40" s="8"/>
      <c r="HG40" s="8"/>
      <c r="HH40" s="8"/>
      <c r="HI40" s="8"/>
      <c r="HJ40" s="8"/>
      <c r="HK40" s="8"/>
      <c r="HL40" s="8"/>
      <c r="HM40" s="8"/>
      <c r="HN40" s="8"/>
      <c r="HO40" s="8"/>
      <c r="HP40" s="8"/>
      <c r="HQ40" s="8"/>
      <c r="HR40" s="8"/>
      <c r="HS40" s="8"/>
      <c r="HT40" s="8"/>
      <c r="HU40" s="8"/>
      <c r="HV40" s="8"/>
      <c r="HW40" s="8"/>
      <c r="HX40" s="8"/>
      <c r="HY40" s="8"/>
      <c r="HZ40" s="8"/>
      <c r="IA40" s="8"/>
      <c r="IB40" s="8"/>
      <c r="IC40" s="8"/>
      <c r="ID40" s="8"/>
      <c r="IE40" s="8"/>
      <c r="IF40" s="8"/>
      <c r="IG40" s="8"/>
      <c r="IH40" s="8"/>
      <c r="II40" s="8"/>
      <c r="IJ40" s="8"/>
      <c r="IK40" s="8"/>
      <c r="IL40" s="8"/>
      <c r="IM40" s="8"/>
      <c r="IN40" s="8"/>
      <c r="IO40" s="8"/>
    </row>
    <row r="41" spans="1:249" ht="150">
      <c r="A41" s="13">
        <v>2</v>
      </c>
      <c r="B41" s="842" t="s">
        <v>287</v>
      </c>
      <c r="C41" s="320"/>
      <c r="D41" s="320"/>
      <c r="E41" s="320"/>
      <c r="F41" s="173" t="s">
        <v>1782</v>
      </c>
      <c r="G41" s="173" t="s">
        <v>1783</v>
      </c>
      <c r="H41" s="320"/>
      <c r="I41" s="308" t="s">
        <v>288</v>
      </c>
      <c r="J41" s="854" t="s">
        <v>1784</v>
      </c>
      <c r="K41" s="823">
        <v>486413</v>
      </c>
      <c r="L41" s="834"/>
      <c r="M41" s="817"/>
      <c r="N41" s="823">
        <f>K41</f>
        <v>486413</v>
      </c>
      <c r="O41" s="817"/>
      <c r="P41" s="832">
        <v>1000</v>
      </c>
      <c r="Q41" s="832"/>
      <c r="R41" s="832"/>
      <c r="S41" s="832">
        <v>1000</v>
      </c>
      <c r="T41" s="832">
        <v>1000</v>
      </c>
      <c r="U41" s="832"/>
      <c r="V41" s="832"/>
      <c r="W41" s="832">
        <v>1000</v>
      </c>
      <c r="X41" s="819">
        <f>K41-T41</f>
        <v>485413</v>
      </c>
      <c r="Y41" s="833">
        <f>AB41</f>
        <v>20000</v>
      </c>
      <c r="Z41" s="816"/>
      <c r="AA41" s="817"/>
      <c r="AB41" s="823">
        <v>20000</v>
      </c>
      <c r="AC41" s="21" t="s">
        <v>1785</v>
      </c>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c r="HH41" s="8"/>
      <c r="HI41" s="8"/>
      <c r="HJ41" s="8"/>
      <c r="HK41" s="8"/>
      <c r="HL41" s="8"/>
      <c r="HM41" s="8"/>
      <c r="HN41" s="8"/>
      <c r="HO41" s="8"/>
      <c r="HP41" s="8"/>
      <c r="HQ41" s="8"/>
      <c r="HR41" s="8"/>
      <c r="HS41" s="8"/>
      <c r="HT41" s="8"/>
      <c r="HU41" s="8"/>
      <c r="HV41" s="8"/>
      <c r="HW41" s="8"/>
      <c r="HX41" s="8"/>
      <c r="HY41" s="8"/>
      <c r="HZ41" s="8"/>
      <c r="IA41" s="8"/>
      <c r="IB41" s="8"/>
      <c r="IC41" s="8"/>
      <c r="ID41" s="8"/>
      <c r="IE41" s="8"/>
      <c r="IF41" s="8"/>
      <c r="IG41" s="8"/>
      <c r="IH41" s="8"/>
      <c r="II41" s="8"/>
      <c r="IJ41" s="8"/>
      <c r="IK41" s="8"/>
      <c r="IL41" s="8"/>
      <c r="IM41" s="8"/>
      <c r="IN41" s="8"/>
      <c r="IO41" s="8"/>
    </row>
    <row r="42" spans="1:249" ht="285">
      <c r="A42" s="13">
        <v>3</v>
      </c>
      <c r="B42" s="842" t="s">
        <v>1786</v>
      </c>
      <c r="C42" s="320"/>
      <c r="D42" s="320"/>
      <c r="E42" s="320"/>
      <c r="F42" s="173" t="s">
        <v>1787</v>
      </c>
      <c r="G42" s="888" t="s">
        <v>1788</v>
      </c>
      <c r="H42" s="320"/>
      <c r="I42" s="308" t="s">
        <v>288</v>
      </c>
      <c r="J42" s="838"/>
      <c r="K42" s="823">
        <v>30000</v>
      </c>
      <c r="L42" s="834"/>
      <c r="M42" s="817"/>
      <c r="N42" s="823">
        <v>30000</v>
      </c>
      <c r="O42" s="817"/>
      <c r="P42" s="817"/>
      <c r="Q42" s="817"/>
      <c r="R42" s="817"/>
      <c r="S42" s="817"/>
      <c r="T42" s="817"/>
      <c r="U42" s="817"/>
      <c r="V42" s="817"/>
      <c r="W42" s="817"/>
      <c r="X42" s="819">
        <v>30000</v>
      </c>
      <c r="Y42" s="823">
        <f>AB42</f>
        <v>30000</v>
      </c>
      <c r="Z42" s="816"/>
      <c r="AA42" s="817"/>
      <c r="AB42" s="823">
        <v>30000</v>
      </c>
      <c r="AC42" s="13" t="s">
        <v>1789</v>
      </c>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8"/>
      <c r="DS42" s="8"/>
      <c r="DT42" s="8"/>
      <c r="DU42" s="8"/>
      <c r="DV42" s="8"/>
      <c r="DW42" s="8"/>
      <c r="DX42" s="8"/>
      <c r="DY42" s="8"/>
      <c r="DZ42" s="8"/>
      <c r="EA42" s="8"/>
      <c r="EB42" s="8"/>
      <c r="EC42" s="8"/>
      <c r="ED42" s="8"/>
      <c r="EE42" s="8"/>
      <c r="EF42" s="8"/>
      <c r="EG42" s="8"/>
      <c r="EH42" s="8"/>
      <c r="EI42" s="8"/>
      <c r="EJ42" s="8"/>
      <c r="EK42" s="8"/>
      <c r="EL42" s="8"/>
      <c r="EM42" s="8"/>
      <c r="EN42" s="8"/>
      <c r="EO42" s="8"/>
      <c r="EP42" s="8"/>
      <c r="EQ42" s="8"/>
      <c r="ER42" s="8"/>
      <c r="ES42" s="8"/>
      <c r="ET42" s="8"/>
      <c r="EU42" s="8"/>
      <c r="EV42" s="8"/>
      <c r="EW42" s="8"/>
      <c r="EX42" s="8"/>
      <c r="EY42" s="8"/>
      <c r="EZ42" s="8"/>
      <c r="FA42" s="8"/>
      <c r="FB42" s="8"/>
      <c r="FC42" s="8"/>
      <c r="FD42" s="8"/>
      <c r="FE42" s="8"/>
      <c r="FF42" s="8"/>
      <c r="FG42" s="8"/>
      <c r="FH42" s="8"/>
      <c r="FI42" s="8"/>
      <c r="FJ42" s="8"/>
      <c r="FK42" s="8"/>
      <c r="FL42" s="8"/>
      <c r="FM42" s="8"/>
      <c r="FN42" s="8"/>
      <c r="FO42" s="8"/>
      <c r="FP42" s="8"/>
      <c r="FQ42" s="8"/>
      <c r="FR42" s="8"/>
      <c r="FS42" s="8"/>
      <c r="FT42" s="8"/>
      <c r="FU42" s="8"/>
      <c r="FV42" s="8"/>
      <c r="FW42" s="8"/>
      <c r="FX42" s="8"/>
      <c r="FY42" s="8"/>
      <c r="FZ42" s="8"/>
      <c r="GA42" s="8"/>
      <c r="GB42" s="8"/>
      <c r="GC42" s="8"/>
      <c r="GD42" s="8"/>
      <c r="GE42" s="8"/>
      <c r="GF42" s="8"/>
      <c r="GG42" s="8"/>
      <c r="GH42" s="8"/>
      <c r="GI42" s="8"/>
      <c r="GJ42" s="8"/>
      <c r="GK42" s="8"/>
      <c r="GL42" s="8"/>
      <c r="GM42" s="8"/>
      <c r="GN42" s="8"/>
      <c r="GO42" s="8"/>
      <c r="GP42" s="8"/>
      <c r="GQ42" s="8"/>
      <c r="GR42" s="8"/>
      <c r="GS42" s="8"/>
      <c r="GT42" s="8"/>
      <c r="GU42" s="8"/>
      <c r="GV42" s="8"/>
      <c r="GW42" s="8"/>
      <c r="GX42" s="8"/>
      <c r="GY42" s="8"/>
      <c r="GZ42" s="8"/>
      <c r="HA42" s="8"/>
      <c r="HB42" s="8"/>
      <c r="HC42" s="8"/>
      <c r="HD42" s="8"/>
      <c r="HE42" s="8"/>
      <c r="HF42" s="8"/>
      <c r="HG42" s="8"/>
      <c r="HH42" s="8"/>
      <c r="HI42" s="8"/>
      <c r="HJ42" s="8"/>
      <c r="HK42" s="8"/>
      <c r="HL42" s="8"/>
      <c r="HM42" s="8"/>
      <c r="HN42" s="8"/>
      <c r="HO42" s="8"/>
      <c r="HP42" s="8"/>
      <c r="HQ42" s="8"/>
      <c r="HR42" s="8"/>
      <c r="HS42" s="8"/>
      <c r="HT42" s="8"/>
      <c r="HU42" s="8"/>
      <c r="HV42" s="8"/>
      <c r="HW42" s="8"/>
      <c r="HX42" s="8"/>
      <c r="HY42" s="8"/>
      <c r="HZ42" s="8"/>
      <c r="IA42" s="8"/>
      <c r="IB42" s="8"/>
      <c r="IC42" s="8"/>
      <c r="ID42" s="8"/>
      <c r="IE42" s="8"/>
      <c r="IF42" s="8"/>
      <c r="IG42" s="8"/>
      <c r="IH42" s="8"/>
      <c r="II42" s="8"/>
      <c r="IJ42" s="8"/>
      <c r="IK42" s="8"/>
      <c r="IL42" s="8"/>
      <c r="IM42" s="8"/>
      <c r="IN42" s="8"/>
      <c r="IO42" s="8"/>
    </row>
    <row r="43" spans="1:249" ht="60">
      <c r="A43" s="13">
        <v>4</v>
      </c>
      <c r="B43" s="842" t="s">
        <v>1790</v>
      </c>
      <c r="C43" s="320"/>
      <c r="D43" s="320"/>
      <c r="E43" s="320"/>
      <c r="F43" s="13" t="s">
        <v>1276</v>
      </c>
      <c r="G43" s="888" t="s">
        <v>1791</v>
      </c>
      <c r="H43" s="320"/>
      <c r="I43" s="21" t="s">
        <v>136</v>
      </c>
      <c r="J43" s="845" t="s">
        <v>1792</v>
      </c>
      <c r="K43" s="832">
        <v>18000</v>
      </c>
      <c r="L43" s="834"/>
      <c r="M43" s="817"/>
      <c r="N43" s="832">
        <v>18000</v>
      </c>
      <c r="O43" s="817"/>
      <c r="P43" s="817"/>
      <c r="Q43" s="817"/>
      <c r="R43" s="817"/>
      <c r="S43" s="817"/>
      <c r="T43" s="817"/>
      <c r="U43" s="817"/>
      <c r="V43" s="817"/>
      <c r="W43" s="817"/>
      <c r="X43" s="819">
        <v>18000</v>
      </c>
      <c r="Y43" s="823">
        <v>8000</v>
      </c>
      <c r="Z43" s="816"/>
      <c r="AA43" s="817"/>
      <c r="AB43" s="823">
        <v>8000</v>
      </c>
      <c r="AC43" s="13" t="s">
        <v>1793</v>
      </c>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c r="BW43" s="8"/>
      <c r="BX43" s="8"/>
      <c r="BY43" s="8"/>
      <c r="BZ43" s="8"/>
      <c r="CA43" s="8"/>
      <c r="CB43" s="8"/>
      <c r="CC43" s="8"/>
      <c r="CD43" s="8"/>
      <c r="CE43" s="8"/>
      <c r="CF43" s="8"/>
      <c r="CG43" s="8"/>
      <c r="CH43" s="8"/>
      <c r="CI43" s="8"/>
      <c r="CJ43" s="8"/>
      <c r="CK43" s="8"/>
      <c r="CL43" s="8"/>
      <c r="CM43" s="8"/>
      <c r="CN43" s="8"/>
      <c r="CO43" s="8"/>
      <c r="CP43" s="8"/>
      <c r="CQ43" s="8"/>
      <c r="CR43" s="8"/>
      <c r="CS43" s="8"/>
      <c r="CT43" s="8"/>
      <c r="CU43" s="8"/>
      <c r="CV43" s="8"/>
      <c r="CW43" s="8"/>
      <c r="CX43" s="8"/>
      <c r="CY43" s="8"/>
      <c r="CZ43" s="8"/>
      <c r="DA43" s="8"/>
      <c r="DB43" s="8"/>
      <c r="DC43" s="8"/>
      <c r="DD43" s="8"/>
      <c r="DE43" s="8"/>
      <c r="DF43" s="8"/>
      <c r="DG43" s="8"/>
      <c r="DH43" s="8"/>
      <c r="DI43" s="8"/>
      <c r="DJ43" s="8"/>
      <c r="DK43" s="8"/>
      <c r="DL43" s="8"/>
      <c r="DM43" s="8"/>
      <c r="DN43" s="8"/>
      <c r="DO43" s="8"/>
      <c r="DP43" s="8"/>
      <c r="DQ43" s="8"/>
      <c r="DR43" s="8"/>
      <c r="DS43" s="8"/>
      <c r="DT43" s="8"/>
      <c r="DU43" s="8"/>
      <c r="DV43" s="8"/>
      <c r="DW43" s="8"/>
      <c r="DX43" s="8"/>
      <c r="DY43" s="8"/>
      <c r="DZ43" s="8"/>
      <c r="EA43" s="8"/>
      <c r="EB43" s="8"/>
      <c r="EC43" s="8"/>
      <c r="ED43" s="8"/>
      <c r="EE43" s="8"/>
      <c r="EF43" s="8"/>
      <c r="EG43" s="8"/>
      <c r="EH43" s="8"/>
      <c r="EI43" s="8"/>
      <c r="EJ43" s="8"/>
      <c r="EK43" s="8"/>
      <c r="EL43" s="8"/>
      <c r="EM43" s="8"/>
      <c r="EN43" s="8"/>
      <c r="EO43" s="8"/>
      <c r="EP43" s="8"/>
      <c r="EQ43" s="8"/>
      <c r="ER43" s="8"/>
      <c r="ES43" s="8"/>
      <c r="ET43" s="8"/>
      <c r="EU43" s="8"/>
      <c r="EV43" s="8"/>
      <c r="EW43" s="8"/>
      <c r="EX43" s="8"/>
      <c r="EY43" s="8"/>
      <c r="EZ43" s="8"/>
      <c r="FA43" s="8"/>
      <c r="FB43" s="8"/>
      <c r="FC43" s="8"/>
      <c r="FD43" s="8"/>
      <c r="FE43" s="8"/>
      <c r="FF43" s="8"/>
      <c r="FG43" s="8"/>
      <c r="FH43" s="8"/>
      <c r="FI43" s="8"/>
      <c r="FJ43" s="8"/>
      <c r="FK43" s="8"/>
      <c r="FL43" s="8"/>
      <c r="FM43" s="8"/>
      <c r="FN43" s="8"/>
      <c r="FO43" s="8"/>
      <c r="FP43" s="8"/>
      <c r="FQ43" s="8"/>
      <c r="FR43" s="8"/>
      <c r="FS43" s="8"/>
      <c r="FT43" s="8"/>
      <c r="FU43" s="8"/>
      <c r="FV43" s="8"/>
      <c r="FW43" s="8"/>
      <c r="FX43" s="8"/>
      <c r="FY43" s="8"/>
      <c r="FZ43" s="8"/>
      <c r="GA43" s="8"/>
      <c r="GB43" s="8"/>
      <c r="GC43" s="8"/>
      <c r="GD43" s="8"/>
      <c r="GE43" s="8"/>
      <c r="GF43" s="8"/>
      <c r="GG43" s="8"/>
      <c r="GH43" s="8"/>
      <c r="GI43" s="8"/>
      <c r="GJ43" s="8"/>
      <c r="GK43" s="8"/>
      <c r="GL43" s="8"/>
      <c r="GM43" s="8"/>
      <c r="GN43" s="8"/>
      <c r="GO43" s="8"/>
      <c r="GP43" s="8"/>
      <c r="GQ43" s="8"/>
      <c r="GR43" s="8"/>
      <c r="GS43" s="8"/>
      <c r="GT43" s="8"/>
      <c r="GU43" s="8"/>
      <c r="GV43" s="8"/>
      <c r="GW43" s="8"/>
      <c r="GX43" s="8"/>
      <c r="GY43" s="8"/>
      <c r="GZ43" s="8"/>
      <c r="HA43" s="8"/>
      <c r="HB43" s="8"/>
      <c r="HC43" s="8"/>
      <c r="HD43" s="8"/>
      <c r="HE43" s="8"/>
      <c r="HF43" s="8"/>
      <c r="HG43" s="8"/>
      <c r="HH43" s="8"/>
      <c r="HI43" s="8"/>
      <c r="HJ43" s="8"/>
      <c r="HK43" s="8"/>
      <c r="HL43" s="8"/>
      <c r="HM43" s="8"/>
      <c r="HN43" s="8"/>
      <c r="HO43" s="8"/>
      <c r="HP43" s="8"/>
      <c r="HQ43" s="8"/>
      <c r="HR43" s="8"/>
      <c r="HS43" s="8"/>
      <c r="HT43" s="8"/>
      <c r="HU43" s="8"/>
      <c r="HV43" s="8"/>
      <c r="HW43" s="8"/>
      <c r="HX43" s="8"/>
      <c r="HY43" s="8"/>
      <c r="HZ43" s="8"/>
      <c r="IA43" s="8"/>
      <c r="IB43" s="8"/>
      <c r="IC43" s="8"/>
      <c r="ID43" s="8"/>
      <c r="IE43" s="8"/>
      <c r="IF43" s="8"/>
      <c r="IG43" s="8"/>
      <c r="IH43" s="8"/>
      <c r="II43" s="8"/>
      <c r="IJ43" s="8"/>
      <c r="IK43" s="8"/>
      <c r="IL43" s="8"/>
      <c r="IM43" s="8"/>
      <c r="IN43" s="8"/>
      <c r="IO43" s="8"/>
    </row>
    <row r="44" spans="1:249" s="324" customFormat="1" ht="95.25" customHeight="1">
      <c r="A44" s="13">
        <v>5</v>
      </c>
      <c r="B44" s="42" t="s">
        <v>1829</v>
      </c>
      <c r="C44" s="320"/>
      <c r="D44" s="320"/>
      <c r="E44" s="320"/>
      <c r="F44" s="623" t="s">
        <v>1830</v>
      </c>
      <c r="G44" s="26" t="s">
        <v>1831</v>
      </c>
      <c r="H44" s="320"/>
      <c r="I44" s="21" t="s">
        <v>288</v>
      </c>
      <c r="J44" s="845"/>
      <c r="K44" s="832">
        <v>50000</v>
      </c>
      <c r="L44" s="834"/>
      <c r="M44" s="817"/>
      <c r="N44" s="832">
        <v>50000</v>
      </c>
      <c r="O44" s="817"/>
      <c r="P44" s="817"/>
      <c r="Q44" s="817"/>
      <c r="R44" s="817"/>
      <c r="S44" s="817"/>
      <c r="T44" s="817"/>
      <c r="U44" s="817"/>
      <c r="V44" s="817"/>
      <c r="W44" s="817"/>
      <c r="X44" s="819">
        <v>50000</v>
      </c>
      <c r="Y44" s="833">
        <f>AB44</f>
        <v>10000</v>
      </c>
      <c r="Z44" s="816"/>
      <c r="AA44" s="817"/>
      <c r="AB44" s="833">
        <v>10000</v>
      </c>
      <c r="AC44" s="91" t="s">
        <v>128</v>
      </c>
      <c r="AD44" s="118"/>
      <c r="AE44" s="118"/>
      <c r="AF44" s="118"/>
      <c r="AG44" s="118"/>
      <c r="AH44" s="118"/>
      <c r="AI44" s="118"/>
      <c r="AJ44" s="118"/>
      <c r="AK44" s="118"/>
      <c r="AL44" s="118"/>
      <c r="AM44" s="118"/>
      <c r="AN44" s="118"/>
      <c r="AO44" s="118"/>
      <c r="AP44" s="118"/>
      <c r="AQ44" s="118"/>
      <c r="AR44" s="118"/>
      <c r="AS44" s="118"/>
      <c r="AT44" s="118"/>
      <c r="AU44" s="118"/>
      <c r="AV44" s="118"/>
      <c r="AW44" s="118"/>
      <c r="AX44" s="118"/>
      <c r="AY44" s="118"/>
      <c r="AZ44" s="118"/>
      <c r="BA44" s="118"/>
      <c r="BB44" s="118"/>
      <c r="BC44" s="118"/>
      <c r="BD44" s="118"/>
      <c r="BE44" s="118"/>
      <c r="BF44" s="118"/>
      <c r="BG44" s="118"/>
      <c r="BH44" s="118"/>
      <c r="BI44" s="118"/>
      <c r="BJ44" s="118"/>
      <c r="BK44" s="118"/>
      <c r="BL44" s="118"/>
      <c r="BM44" s="118"/>
      <c r="BN44" s="118"/>
      <c r="BO44" s="118"/>
      <c r="BP44" s="118"/>
      <c r="BQ44" s="118"/>
      <c r="BR44" s="118"/>
      <c r="BS44" s="118"/>
      <c r="BT44" s="118"/>
      <c r="BU44" s="118"/>
      <c r="BV44" s="118"/>
      <c r="BW44" s="118"/>
      <c r="BX44" s="118"/>
      <c r="BY44" s="118"/>
      <c r="BZ44" s="118"/>
      <c r="CA44" s="118"/>
      <c r="CB44" s="118"/>
      <c r="CC44" s="118"/>
      <c r="CD44" s="118"/>
      <c r="CE44" s="118"/>
      <c r="CF44" s="118"/>
      <c r="CG44" s="118"/>
      <c r="CH44" s="118"/>
      <c r="CI44" s="118"/>
      <c r="CJ44" s="118"/>
      <c r="CK44" s="118"/>
      <c r="CL44" s="118"/>
      <c r="CM44" s="118"/>
      <c r="CN44" s="118"/>
      <c r="CO44" s="118"/>
      <c r="CP44" s="118"/>
      <c r="CQ44" s="118"/>
      <c r="CR44" s="118"/>
      <c r="CS44" s="118"/>
      <c r="CT44" s="118"/>
      <c r="CU44" s="118"/>
      <c r="CV44" s="118"/>
      <c r="CW44" s="118"/>
      <c r="CX44" s="118"/>
      <c r="CY44" s="118"/>
      <c r="CZ44" s="118"/>
      <c r="DA44" s="118"/>
      <c r="DB44" s="118"/>
      <c r="DC44" s="118"/>
      <c r="DD44" s="118"/>
      <c r="DE44" s="118"/>
      <c r="DF44" s="118"/>
      <c r="DG44" s="118"/>
      <c r="DH44" s="118"/>
      <c r="DI44" s="118"/>
      <c r="DJ44" s="118"/>
      <c r="DK44" s="118"/>
      <c r="DL44" s="118"/>
      <c r="DM44" s="118"/>
      <c r="DN44" s="118"/>
      <c r="DO44" s="118"/>
      <c r="DP44" s="118"/>
      <c r="DQ44" s="118"/>
      <c r="DR44" s="118"/>
      <c r="DS44" s="118"/>
      <c r="DT44" s="118"/>
      <c r="DU44" s="118"/>
      <c r="DV44" s="118"/>
      <c r="DW44" s="118"/>
      <c r="DX44" s="118"/>
      <c r="DY44" s="118"/>
      <c r="DZ44" s="118"/>
      <c r="EA44" s="118"/>
      <c r="EB44" s="118"/>
      <c r="EC44" s="118"/>
      <c r="ED44" s="118"/>
      <c r="EE44" s="118"/>
      <c r="EF44" s="118"/>
      <c r="EG44" s="118"/>
      <c r="EH44" s="118"/>
      <c r="EI44" s="118"/>
      <c r="EJ44" s="118"/>
      <c r="EK44" s="118"/>
      <c r="EL44" s="118"/>
      <c r="EM44" s="118"/>
      <c r="EN44" s="118"/>
      <c r="EO44" s="118"/>
      <c r="EP44" s="118"/>
      <c r="EQ44" s="118"/>
      <c r="ER44" s="118"/>
      <c r="ES44" s="118"/>
      <c r="ET44" s="118"/>
      <c r="EU44" s="118"/>
      <c r="EV44" s="118"/>
      <c r="EW44" s="118"/>
      <c r="EX44" s="118"/>
      <c r="EY44" s="118"/>
      <c r="EZ44" s="118"/>
      <c r="FA44" s="118"/>
      <c r="FB44" s="118"/>
      <c r="FC44" s="118"/>
      <c r="FD44" s="118"/>
      <c r="FE44" s="118"/>
      <c r="FF44" s="118"/>
      <c r="FG44" s="118"/>
      <c r="FH44" s="118"/>
      <c r="FI44" s="118"/>
      <c r="FJ44" s="118"/>
      <c r="FK44" s="118"/>
      <c r="FL44" s="118"/>
      <c r="FM44" s="118"/>
      <c r="FN44" s="118"/>
      <c r="FO44" s="118"/>
      <c r="FP44" s="118"/>
      <c r="FQ44" s="118"/>
      <c r="FR44" s="118"/>
      <c r="FS44" s="118"/>
      <c r="FT44" s="118"/>
      <c r="FU44" s="118"/>
      <c r="FV44" s="118"/>
      <c r="FW44" s="118"/>
      <c r="FX44" s="118"/>
      <c r="FY44" s="118"/>
      <c r="FZ44" s="118"/>
      <c r="GA44" s="118"/>
      <c r="GB44" s="118"/>
      <c r="GC44" s="118"/>
      <c r="GD44" s="118"/>
      <c r="GE44" s="118"/>
      <c r="GF44" s="118"/>
      <c r="GG44" s="118"/>
      <c r="GH44" s="118"/>
      <c r="GI44" s="118"/>
      <c r="GJ44" s="118"/>
      <c r="GK44" s="118"/>
      <c r="GL44" s="118"/>
      <c r="GM44" s="118"/>
      <c r="GN44" s="118"/>
      <c r="GO44" s="118"/>
      <c r="GP44" s="118"/>
      <c r="GQ44" s="118"/>
      <c r="GR44" s="118"/>
      <c r="GS44" s="118"/>
      <c r="GT44" s="118"/>
      <c r="GU44" s="118"/>
      <c r="GV44" s="118"/>
      <c r="GW44" s="118"/>
      <c r="GX44" s="118"/>
      <c r="GY44" s="118"/>
      <c r="GZ44" s="118"/>
      <c r="HA44" s="118"/>
      <c r="HB44" s="118"/>
      <c r="HC44" s="118"/>
      <c r="HD44" s="118"/>
      <c r="HE44" s="118"/>
      <c r="HF44" s="118"/>
      <c r="HG44" s="118"/>
      <c r="HH44" s="118"/>
      <c r="HI44" s="118"/>
      <c r="HJ44" s="118"/>
      <c r="HK44" s="118"/>
      <c r="HL44" s="118"/>
      <c r="HM44" s="118"/>
      <c r="HN44" s="118"/>
      <c r="HO44" s="118"/>
      <c r="HP44" s="118"/>
      <c r="HQ44" s="118"/>
      <c r="HR44" s="118"/>
      <c r="HS44" s="118"/>
      <c r="HT44" s="118"/>
      <c r="HU44" s="118"/>
      <c r="HV44" s="118"/>
      <c r="HW44" s="118"/>
      <c r="HX44" s="118"/>
      <c r="HY44" s="118"/>
      <c r="HZ44" s="118"/>
      <c r="IA44" s="118"/>
      <c r="IB44" s="118"/>
      <c r="IC44" s="118"/>
      <c r="ID44" s="118"/>
      <c r="IE44" s="118"/>
      <c r="IF44" s="118"/>
      <c r="IG44" s="118"/>
      <c r="IH44" s="118"/>
      <c r="II44" s="118"/>
      <c r="IJ44" s="118"/>
      <c r="IK44" s="118"/>
      <c r="IL44" s="118"/>
      <c r="IM44" s="118"/>
      <c r="IN44" s="118"/>
      <c r="IO44" s="118"/>
    </row>
    <row r="45" spans="1:249" ht="120">
      <c r="A45" s="13">
        <v>6</v>
      </c>
      <c r="B45" s="42" t="s">
        <v>1794</v>
      </c>
      <c r="C45" s="320"/>
      <c r="D45" s="320"/>
      <c r="E45" s="320"/>
      <c r="F45" s="623" t="s">
        <v>1795</v>
      </c>
      <c r="G45" s="888" t="s">
        <v>1796</v>
      </c>
      <c r="H45" s="320"/>
      <c r="I45" s="21" t="s">
        <v>165</v>
      </c>
      <c r="J45" s="845"/>
      <c r="K45" s="832">
        <v>100618</v>
      </c>
      <c r="L45" s="834"/>
      <c r="M45" s="817"/>
      <c r="N45" s="832">
        <v>100618</v>
      </c>
      <c r="O45" s="817"/>
      <c r="P45" s="817"/>
      <c r="Q45" s="817"/>
      <c r="R45" s="817"/>
      <c r="S45" s="817"/>
      <c r="T45" s="817"/>
      <c r="U45" s="817"/>
      <c r="V45" s="817"/>
      <c r="W45" s="817"/>
      <c r="X45" s="819">
        <v>100618</v>
      </c>
      <c r="Y45" s="833">
        <f>AB45</f>
        <v>10000</v>
      </c>
      <c r="Z45" s="816"/>
      <c r="AA45" s="817"/>
      <c r="AB45" s="833">
        <v>10000</v>
      </c>
      <c r="AC45" s="117" t="s">
        <v>1797</v>
      </c>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8"/>
      <c r="CN45" s="8"/>
      <c r="CO45" s="8"/>
      <c r="CP45" s="8"/>
      <c r="CQ45" s="8"/>
      <c r="CR45" s="8"/>
      <c r="CS45" s="8"/>
      <c r="CT45" s="8"/>
      <c r="CU45" s="8"/>
      <c r="CV45" s="8"/>
      <c r="CW45" s="8"/>
      <c r="CX45" s="8"/>
      <c r="CY45" s="8"/>
      <c r="CZ45" s="8"/>
      <c r="DA45" s="8"/>
      <c r="DB45" s="8"/>
      <c r="DC45" s="8"/>
      <c r="DD45" s="8"/>
      <c r="DE45" s="8"/>
      <c r="DF45" s="8"/>
      <c r="DG45" s="8"/>
      <c r="DH45" s="8"/>
      <c r="DI45" s="8"/>
      <c r="DJ45" s="8"/>
      <c r="DK45" s="8"/>
      <c r="DL45" s="8"/>
      <c r="DM45" s="8"/>
      <c r="DN45" s="8"/>
      <c r="DO45" s="8"/>
      <c r="DP45" s="8"/>
      <c r="DQ45" s="8"/>
      <c r="DR45" s="8"/>
      <c r="DS45" s="8"/>
      <c r="DT45" s="8"/>
      <c r="DU45" s="8"/>
      <c r="DV45" s="8"/>
      <c r="DW45" s="8"/>
      <c r="DX45" s="8"/>
      <c r="DY45" s="8"/>
      <c r="DZ45" s="8"/>
      <c r="EA45" s="8"/>
      <c r="EB45" s="8"/>
      <c r="EC45" s="8"/>
      <c r="ED45" s="8"/>
      <c r="EE45" s="8"/>
      <c r="EF45" s="8"/>
      <c r="EG45" s="8"/>
      <c r="EH45" s="8"/>
      <c r="EI45" s="8"/>
      <c r="EJ45" s="8"/>
      <c r="EK45" s="8"/>
      <c r="EL45" s="8"/>
      <c r="EM45" s="8"/>
      <c r="EN45" s="8"/>
      <c r="EO45" s="8"/>
      <c r="EP45" s="8"/>
      <c r="EQ45" s="8"/>
      <c r="ER45" s="8"/>
      <c r="ES45" s="8"/>
      <c r="ET45" s="8"/>
      <c r="EU45" s="8"/>
      <c r="EV45" s="8"/>
      <c r="EW45" s="8"/>
      <c r="EX45" s="8"/>
      <c r="EY45" s="8"/>
      <c r="EZ45" s="8"/>
      <c r="FA45" s="8"/>
      <c r="FB45" s="8"/>
      <c r="FC45" s="8"/>
      <c r="FD45" s="8"/>
      <c r="FE45" s="8"/>
      <c r="FF45" s="8"/>
      <c r="FG45" s="8"/>
      <c r="FH45" s="8"/>
      <c r="FI45" s="8"/>
      <c r="FJ45" s="8"/>
      <c r="FK45" s="8"/>
      <c r="FL45" s="8"/>
      <c r="FM45" s="8"/>
      <c r="FN45" s="8"/>
      <c r="FO45" s="8"/>
      <c r="FP45" s="8"/>
      <c r="FQ45" s="8"/>
      <c r="FR45" s="8"/>
      <c r="FS45" s="8"/>
      <c r="FT45" s="8"/>
      <c r="FU45" s="8"/>
      <c r="FV45" s="8"/>
      <c r="FW45" s="8"/>
      <c r="FX45" s="8"/>
      <c r="FY45" s="8"/>
      <c r="FZ45" s="8"/>
      <c r="GA45" s="8"/>
      <c r="GB45" s="8"/>
      <c r="GC45" s="8"/>
      <c r="GD45" s="8"/>
      <c r="GE45" s="8"/>
      <c r="GF45" s="8"/>
      <c r="GG45" s="8"/>
      <c r="GH45" s="8"/>
      <c r="GI45" s="8"/>
      <c r="GJ45" s="8"/>
      <c r="GK45" s="8"/>
      <c r="GL45" s="8"/>
      <c r="GM45" s="8"/>
      <c r="GN45" s="8"/>
      <c r="GO45" s="8"/>
      <c r="GP45" s="8"/>
      <c r="GQ45" s="8"/>
      <c r="GR45" s="8"/>
      <c r="GS45" s="8"/>
      <c r="GT45" s="8"/>
      <c r="GU45" s="8"/>
      <c r="GV45" s="8"/>
      <c r="GW45" s="8"/>
      <c r="GX45" s="8"/>
      <c r="GY45" s="8"/>
      <c r="GZ45" s="8"/>
      <c r="HA45" s="8"/>
      <c r="HB45" s="8"/>
      <c r="HC45" s="8"/>
      <c r="HD45" s="8"/>
      <c r="HE45" s="8"/>
      <c r="HF45" s="8"/>
      <c r="HG45" s="8"/>
      <c r="HH45" s="8"/>
      <c r="HI45" s="8"/>
      <c r="HJ45" s="8"/>
      <c r="HK45" s="8"/>
      <c r="HL45" s="8"/>
      <c r="HM45" s="8"/>
      <c r="HN45" s="8"/>
      <c r="HO45" s="8"/>
      <c r="HP45" s="8"/>
      <c r="HQ45" s="8"/>
      <c r="HR45" s="8"/>
      <c r="HS45" s="8"/>
      <c r="HT45" s="8"/>
      <c r="HU45" s="8"/>
      <c r="HV45" s="8"/>
      <c r="HW45" s="8"/>
      <c r="HX45" s="8"/>
      <c r="HY45" s="8"/>
      <c r="HZ45" s="8"/>
      <c r="IA45" s="8"/>
      <c r="IB45" s="8"/>
      <c r="IC45" s="8"/>
      <c r="ID45" s="8"/>
      <c r="IE45" s="8"/>
      <c r="IF45" s="8"/>
      <c r="IG45" s="8"/>
      <c r="IH45" s="8"/>
      <c r="II45" s="8"/>
      <c r="IJ45" s="8"/>
      <c r="IK45" s="8"/>
      <c r="IL45" s="8"/>
      <c r="IM45" s="8"/>
      <c r="IN45" s="8"/>
      <c r="IO45" s="8"/>
    </row>
    <row r="46" spans="1:249" ht="75">
      <c r="A46" s="13">
        <v>7</v>
      </c>
      <c r="B46" s="42" t="s">
        <v>1798</v>
      </c>
      <c r="C46" s="320"/>
      <c r="D46" s="320"/>
      <c r="E46" s="320"/>
      <c r="F46" s="623" t="s">
        <v>1795</v>
      </c>
      <c r="G46" s="888" t="s">
        <v>1799</v>
      </c>
      <c r="H46" s="320"/>
      <c r="I46" s="21" t="s">
        <v>411</v>
      </c>
      <c r="J46" s="845"/>
      <c r="K46" s="832">
        <v>48073</v>
      </c>
      <c r="L46" s="834"/>
      <c r="M46" s="817"/>
      <c r="N46" s="832">
        <v>48073</v>
      </c>
      <c r="O46" s="817"/>
      <c r="P46" s="817"/>
      <c r="Q46" s="817"/>
      <c r="R46" s="817"/>
      <c r="S46" s="817"/>
      <c r="T46" s="817"/>
      <c r="U46" s="817"/>
      <c r="V46" s="817"/>
      <c r="W46" s="817"/>
      <c r="X46" s="832">
        <v>48073</v>
      </c>
      <c r="Y46" s="833">
        <f>AB46</f>
        <v>20000</v>
      </c>
      <c r="Z46" s="816"/>
      <c r="AA46" s="817"/>
      <c r="AB46" s="833">
        <v>20000</v>
      </c>
      <c r="AC46" s="117" t="s">
        <v>1797</v>
      </c>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c r="CK46" s="8"/>
      <c r="CL46" s="8"/>
      <c r="CM46" s="8"/>
      <c r="CN46" s="8"/>
      <c r="CO46" s="8"/>
      <c r="CP46" s="8"/>
      <c r="CQ46" s="8"/>
      <c r="CR46" s="8"/>
      <c r="CS46" s="8"/>
      <c r="CT46" s="8"/>
      <c r="CU46" s="8"/>
      <c r="CV46" s="8"/>
      <c r="CW46" s="8"/>
      <c r="CX46" s="8"/>
      <c r="CY46" s="8"/>
      <c r="CZ46" s="8"/>
      <c r="DA46" s="8"/>
      <c r="DB46" s="8"/>
      <c r="DC46" s="8"/>
      <c r="DD46" s="8"/>
      <c r="DE46" s="8"/>
      <c r="DF46" s="8"/>
      <c r="DG46" s="8"/>
      <c r="DH46" s="8"/>
      <c r="DI46" s="8"/>
      <c r="DJ46" s="8"/>
      <c r="DK46" s="8"/>
      <c r="DL46" s="8"/>
      <c r="DM46" s="8"/>
      <c r="DN46" s="8"/>
      <c r="DO46" s="8"/>
      <c r="DP46" s="8"/>
      <c r="DQ46" s="8"/>
      <c r="DR46" s="8"/>
      <c r="DS46" s="8"/>
      <c r="DT46" s="8"/>
      <c r="DU46" s="8"/>
      <c r="DV46" s="8"/>
      <c r="DW46" s="8"/>
      <c r="DX46" s="8"/>
      <c r="DY46" s="8"/>
      <c r="DZ46" s="8"/>
      <c r="EA46" s="8"/>
      <c r="EB46" s="8"/>
      <c r="EC46" s="8"/>
      <c r="ED46" s="8"/>
      <c r="EE46" s="8"/>
      <c r="EF46" s="8"/>
      <c r="EG46" s="8"/>
      <c r="EH46" s="8"/>
      <c r="EI46" s="8"/>
      <c r="EJ46" s="8"/>
      <c r="EK46" s="8"/>
      <c r="EL46" s="8"/>
      <c r="EM46" s="8"/>
      <c r="EN46" s="8"/>
      <c r="EO46" s="8"/>
      <c r="EP46" s="8"/>
      <c r="EQ46" s="8"/>
      <c r="ER46" s="8"/>
      <c r="ES46" s="8"/>
      <c r="ET46" s="8"/>
      <c r="EU46" s="8"/>
      <c r="EV46" s="8"/>
      <c r="EW46" s="8"/>
      <c r="EX46" s="8"/>
      <c r="EY46" s="8"/>
      <c r="EZ46" s="8"/>
      <c r="FA46" s="8"/>
      <c r="FB46" s="8"/>
      <c r="FC46" s="8"/>
      <c r="FD46" s="8"/>
      <c r="FE46" s="8"/>
      <c r="FF46" s="8"/>
      <c r="FG46" s="8"/>
      <c r="FH46" s="8"/>
      <c r="FI46" s="8"/>
      <c r="FJ46" s="8"/>
      <c r="FK46" s="8"/>
      <c r="FL46" s="8"/>
      <c r="FM46" s="8"/>
      <c r="FN46" s="8"/>
      <c r="FO46" s="8"/>
      <c r="FP46" s="8"/>
      <c r="FQ46" s="8"/>
      <c r="FR46" s="8"/>
      <c r="FS46" s="8"/>
      <c r="FT46" s="8"/>
      <c r="FU46" s="8"/>
      <c r="FV46" s="8"/>
      <c r="FW46" s="8"/>
      <c r="FX46" s="8"/>
      <c r="FY46" s="8"/>
      <c r="FZ46" s="8"/>
      <c r="GA46" s="8"/>
      <c r="GB46" s="8"/>
      <c r="GC46" s="8"/>
      <c r="GD46" s="8"/>
      <c r="GE46" s="8"/>
      <c r="GF46" s="8"/>
      <c r="GG46" s="8"/>
      <c r="GH46" s="8"/>
      <c r="GI46" s="8"/>
      <c r="GJ46" s="8"/>
      <c r="GK46" s="8"/>
      <c r="GL46" s="8"/>
      <c r="GM46" s="8"/>
      <c r="GN46" s="8"/>
      <c r="GO46" s="8"/>
      <c r="GP46" s="8"/>
      <c r="GQ46" s="8"/>
      <c r="GR46" s="8"/>
      <c r="GS46" s="8"/>
      <c r="GT46" s="8"/>
      <c r="GU46" s="8"/>
      <c r="GV46" s="8"/>
      <c r="GW46" s="8"/>
      <c r="GX46" s="8"/>
      <c r="GY46" s="8"/>
      <c r="GZ46" s="8"/>
      <c r="HA46" s="8"/>
      <c r="HB46" s="8"/>
      <c r="HC46" s="8"/>
      <c r="HD46" s="8"/>
      <c r="HE46" s="8"/>
      <c r="HF46" s="8"/>
      <c r="HG46" s="8"/>
      <c r="HH46" s="8"/>
      <c r="HI46" s="8"/>
      <c r="HJ46" s="8"/>
      <c r="HK46" s="8"/>
      <c r="HL46" s="8"/>
      <c r="HM46" s="8"/>
      <c r="HN46" s="8"/>
      <c r="HO46" s="8"/>
      <c r="HP46" s="8"/>
      <c r="HQ46" s="8"/>
      <c r="HR46" s="8"/>
      <c r="HS46" s="8"/>
      <c r="HT46" s="8"/>
      <c r="HU46" s="8"/>
      <c r="HV46" s="8"/>
      <c r="HW46" s="8"/>
      <c r="HX46" s="8"/>
      <c r="HY46" s="8"/>
      <c r="HZ46" s="8"/>
      <c r="IA46" s="8"/>
      <c r="IB46" s="8"/>
      <c r="IC46" s="8"/>
      <c r="ID46" s="8"/>
      <c r="IE46" s="8"/>
      <c r="IF46" s="8"/>
      <c r="IG46" s="8"/>
      <c r="IH46" s="8"/>
      <c r="II46" s="8"/>
      <c r="IJ46" s="8"/>
      <c r="IK46" s="8"/>
      <c r="IL46" s="8"/>
      <c r="IM46" s="8"/>
      <c r="IN46" s="8"/>
      <c r="IO46" s="8"/>
    </row>
    <row r="47" spans="1:249" ht="120">
      <c r="A47" s="13">
        <v>8</v>
      </c>
      <c r="B47" s="42" t="s">
        <v>1800</v>
      </c>
      <c r="C47" s="320"/>
      <c r="D47" s="320"/>
      <c r="E47" s="320"/>
      <c r="F47" s="623" t="s">
        <v>1801</v>
      </c>
      <c r="G47" s="888" t="s">
        <v>1802</v>
      </c>
      <c r="H47" s="320"/>
      <c r="I47" s="21" t="s">
        <v>411</v>
      </c>
      <c r="J47" s="845"/>
      <c r="K47" s="832">
        <v>26000</v>
      </c>
      <c r="L47" s="834"/>
      <c r="M47" s="817"/>
      <c r="N47" s="832">
        <v>26000</v>
      </c>
      <c r="O47" s="817"/>
      <c r="P47" s="817"/>
      <c r="Q47" s="817"/>
      <c r="R47" s="817"/>
      <c r="S47" s="817"/>
      <c r="T47" s="817"/>
      <c r="U47" s="817"/>
      <c r="V47" s="817"/>
      <c r="W47" s="817"/>
      <c r="X47" s="832">
        <v>26000</v>
      </c>
      <c r="Y47" s="833">
        <f>AB47</f>
        <v>10000</v>
      </c>
      <c r="Z47" s="816"/>
      <c r="AA47" s="817"/>
      <c r="AB47" s="833">
        <v>10000</v>
      </c>
      <c r="AC47" s="117" t="s">
        <v>1797</v>
      </c>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c r="CK47" s="8"/>
      <c r="CL47" s="8"/>
      <c r="CM47" s="8"/>
      <c r="CN47" s="8"/>
      <c r="CO47" s="8"/>
      <c r="CP47" s="8"/>
      <c r="CQ47" s="8"/>
      <c r="CR47" s="8"/>
      <c r="CS47" s="8"/>
      <c r="CT47" s="8"/>
      <c r="CU47" s="8"/>
      <c r="CV47" s="8"/>
      <c r="CW47" s="8"/>
      <c r="CX47" s="8"/>
      <c r="CY47" s="8"/>
      <c r="CZ47" s="8"/>
      <c r="DA47" s="8"/>
      <c r="DB47" s="8"/>
      <c r="DC47" s="8"/>
      <c r="DD47" s="8"/>
      <c r="DE47" s="8"/>
      <c r="DF47" s="8"/>
      <c r="DG47" s="8"/>
      <c r="DH47" s="8"/>
      <c r="DI47" s="8"/>
      <c r="DJ47" s="8"/>
      <c r="DK47" s="8"/>
      <c r="DL47" s="8"/>
      <c r="DM47" s="8"/>
      <c r="DN47" s="8"/>
      <c r="DO47" s="8"/>
      <c r="DP47" s="8"/>
      <c r="DQ47" s="8"/>
      <c r="DR47" s="8"/>
      <c r="DS47" s="8"/>
      <c r="DT47" s="8"/>
      <c r="DU47" s="8"/>
      <c r="DV47" s="8"/>
      <c r="DW47" s="8"/>
      <c r="DX47" s="8"/>
      <c r="DY47" s="8"/>
      <c r="DZ47" s="8"/>
      <c r="EA47" s="8"/>
      <c r="EB47" s="8"/>
      <c r="EC47" s="8"/>
      <c r="ED47" s="8"/>
      <c r="EE47" s="8"/>
      <c r="EF47" s="8"/>
      <c r="EG47" s="8"/>
      <c r="EH47" s="8"/>
      <c r="EI47" s="8"/>
      <c r="EJ47" s="8"/>
      <c r="EK47" s="8"/>
      <c r="EL47" s="8"/>
      <c r="EM47" s="8"/>
      <c r="EN47" s="8"/>
      <c r="EO47" s="8"/>
      <c r="EP47" s="8"/>
      <c r="EQ47" s="8"/>
      <c r="ER47" s="8"/>
      <c r="ES47" s="8"/>
      <c r="ET47" s="8"/>
      <c r="EU47" s="8"/>
      <c r="EV47" s="8"/>
      <c r="EW47" s="8"/>
      <c r="EX47" s="8"/>
      <c r="EY47" s="8"/>
      <c r="EZ47" s="8"/>
      <c r="FA47" s="8"/>
      <c r="FB47" s="8"/>
      <c r="FC47" s="8"/>
      <c r="FD47" s="8"/>
      <c r="FE47" s="8"/>
      <c r="FF47" s="8"/>
      <c r="FG47" s="8"/>
      <c r="FH47" s="8"/>
      <c r="FI47" s="8"/>
      <c r="FJ47" s="8"/>
      <c r="FK47" s="8"/>
      <c r="FL47" s="8"/>
      <c r="FM47" s="8"/>
      <c r="FN47" s="8"/>
      <c r="FO47" s="8"/>
      <c r="FP47" s="8"/>
      <c r="FQ47" s="8"/>
      <c r="FR47" s="8"/>
      <c r="FS47" s="8"/>
      <c r="FT47" s="8"/>
      <c r="FU47" s="8"/>
      <c r="FV47" s="8"/>
      <c r="FW47" s="8"/>
      <c r="FX47" s="8"/>
      <c r="FY47" s="8"/>
      <c r="FZ47" s="8"/>
      <c r="GA47" s="8"/>
      <c r="GB47" s="8"/>
      <c r="GC47" s="8"/>
      <c r="GD47" s="8"/>
      <c r="GE47" s="8"/>
      <c r="GF47" s="8"/>
      <c r="GG47" s="8"/>
      <c r="GH47" s="8"/>
      <c r="GI47" s="8"/>
      <c r="GJ47" s="8"/>
      <c r="GK47" s="8"/>
      <c r="GL47" s="8"/>
      <c r="GM47" s="8"/>
      <c r="GN47" s="8"/>
      <c r="GO47" s="8"/>
      <c r="GP47" s="8"/>
      <c r="GQ47" s="8"/>
      <c r="GR47" s="8"/>
      <c r="GS47" s="8"/>
      <c r="GT47" s="8"/>
      <c r="GU47" s="8"/>
      <c r="GV47" s="8"/>
      <c r="GW47" s="8"/>
      <c r="GX47" s="8"/>
      <c r="GY47" s="8"/>
      <c r="GZ47" s="8"/>
      <c r="HA47" s="8"/>
      <c r="HB47" s="8"/>
      <c r="HC47" s="8"/>
      <c r="HD47" s="8"/>
      <c r="HE47" s="8"/>
      <c r="HF47" s="8"/>
      <c r="HG47" s="8"/>
      <c r="HH47" s="8"/>
      <c r="HI47" s="8"/>
      <c r="HJ47" s="8"/>
      <c r="HK47" s="8"/>
      <c r="HL47" s="8"/>
      <c r="HM47" s="8"/>
      <c r="HN47" s="8"/>
      <c r="HO47" s="8"/>
      <c r="HP47" s="8"/>
      <c r="HQ47" s="8"/>
      <c r="HR47" s="8"/>
      <c r="HS47" s="8"/>
      <c r="HT47" s="8"/>
      <c r="HU47" s="8"/>
      <c r="HV47" s="8"/>
      <c r="HW47" s="8"/>
      <c r="HX47" s="8"/>
      <c r="HY47" s="8"/>
      <c r="HZ47" s="8"/>
      <c r="IA47" s="8"/>
      <c r="IB47" s="8"/>
      <c r="IC47" s="8"/>
      <c r="ID47" s="8"/>
      <c r="IE47" s="8"/>
      <c r="IF47" s="8"/>
      <c r="IG47" s="8"/>
      <c r="IH47" s="8"/>
      <c r="II47" s="8"/>
      <c r="IJ47" s="8"/>
      <c r="IK47" s="8"/>
      <c r="IL47" s="8"/>
      <c r="IM47" s="8"/>
      <c r="IN47" s="8"/>
      <c r="IO47" s="8"/>
    </row>
    <row r="48" spans="1:249" ht="60">
      <c r="A48" s="13">
        <v>9</v>
      </c>
      <c r="B48" s="27" t="s">
        <v>600</v>
      </c>
      <c r="C48" s="320"/>
      <c r="D48" s="320"/>
      <c r="E48" s="320"/>
      <c r="F48" s="623" t="s">
        <v>459</v>
      </c>
      <c r="G48" s="13" t="s">
        <v>186</v>
      </c>
      <c r="H48" s="320"/>
      <c r="I48" s="21" t="s">
        <v>288</v>
      </c>
      <c r="J48" s="845" t="s">
        <v>1803</v>
      </c>
      <c r="K48" s="832">
        <v>30512</v>
      </c>
      <c r="L48" s="834"/>
      <c r="M48" s="817"/>
      <c r="N48" s="832">
        <v>30512</v>
      </c>
      <c r="O48" s="817"/>
      <c r="P48" s="832">
        <v>2000</v>
      </c>
      <c r="Q48" s="832"/>
      <c r="R48" s="832"/>
      <c r="S48" s="832">
        <v>2000</v>
      </c>
      <c r="T48" s="832">
        <v>2000</v>
      </c>
      <c r="U48" s="832"/>
      <c r="V48" s="832"/>
      <c r="W48" s="832">
        <v>2000</v>
      </c>
      <c r="X48" s="832">
        <f>K48-T48</f>
        <v>28512</v>
      </c>
      <c r="Y48" s="833">
        <v>5000</v>
      </c>
      <c r="Z48" s="816"/>
      <c r="AA48" s="817"/>
      <c r="AB48" s="833">
        <v>5000</v>
      </c>
      <c r="AC48" s="117" t="s">
        <v>1804</v>
      </c>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c r="CK48" s="8"/>
      <c r="CL48" s="8"/>
      <c r="CM48" s="8"/>
      <c r="CN48" s="8"/>
      <c r="CO48" s="8"/>
      <c r="CP48" s="8"/>
      <c r="CQ48" s="8"/>
      <c r="CR48" s="8"/>
      <c r="CS48" s="8"/>
      <c r="CT48" s="8"/>
      <c r="CU48" s="8"/>
      <c r="CV48" s="8"/>
      <c r="CW48" s="8"/>
      <c r="CX48" s="8"/>
      <c r="CY48" s="8"/>
      <c r="CZ48" s="8"/>
      <c r="DA48" s="8"/>
      <c r="DB48" s="8"/>
      <c r="DC48" s="8"/>
      <c r="DD48" s="8"/>
      <c r="DE48" s="8"/>
      <c r="DF48" s="8"/>
      <c r="DG48" s="8"/>
      <c r="DH48" s="8"/>
      <c r="DI48" s="8"/>
      <c r="DJ48" s="8"/>
      <c r="DK48" s="8"/>
      <c r="DL48" s="8"/>
      <c r="DM48" s="8"/>
      <c r="DN48" s="8"/>
      <c r="DO48" s="8"/>
      <c r="DP48" s="8"/>
      <c r="DQ48" s="8"/>
      <c r="DR48" s="8"/>
      <c r="DS48" s="8"/>
      <c r="DT48" s="8"/>
      <c r="DU48" s="8"/>
      <c r="DV48" s="8"/>
      <c r="DW48" s="8"/>
      <c r="DX48" s="8"/>
      <c r="DY48" s="8"/>
      <c r="DZ48" s="8"/>
      <c r="EA48" s="8"/>
      <c r="EB48" s="8"/>
      <c r="EC48" s="8"/>
      <c r="ED48" s="8"/>
      <c r="EE48" s="8"/>
      <c r="EF48" s="8"/>
      <c r="EG48" s="8"/>
      <c r="EH48" s="8"/>
      <c r="EI48" s="8"/>
      <c r="EJ48" s="8"/>
      <c r="EK48" s="8"/>
      <c r="EL48" s="8"/>
      <c r="EM48" s="8"/>
      <c r="EN48" s="8"/>
      <c r="EO48" s="8"/>
      <c r="EP48" s="8"/>
      <c r="EQ48" s="8"/>
      <c r="ER48" s="8"/>
      <c r="ES48" s="8"/>
      <c r="ET48" s="8"/>
      <c r="EU48" s="8"/>
      <c r="EV48" s="8"/>
      <c r="EW48" s="8"/>
      <c r="EX48" s="8"/>
      <c r="EY48" s="8"/>
      <c r="EZ48" s="8"/>
      <c r="FA48" s="8"/>
      <c r="FB48" s="8"/>
      <c r="FC48" s="8"/>
      <c r="FD48" s="8"/>
      <c r="FE48" s="8"/>
      <c r="FF48" s="8"/>
      <c r="FG48" s="8"/>
      <c r="FH48" s="8"/>
      <c r="FI48" s="8"/>
      <c r="FJ48" s="8"/>
      <c r="FK48" s="8"/>
      <c r="FL48" s="8"/>
      <c r="FM48" s="8"/>
      <c r="FN48" s="8"/>
      <c r="FO48" s="8"/>
      <c r="FP48" s="8"/>
      <c r="FQ48" s="8"/>
      <c r="FR48" s="8"/>
      <c r="FS48" s="8"/>
      <c r="FT48" s="8"/>
      <c r="FU48" s="8"/>
      <c r="FV48" s="8"/>
      <c r="FW48" s="8"/>
      <c r="FX48" s="8"/>
      <c r="FY48" s="8"/>
      <c r="FZ48" s="8"/>
      <c r="GA48" s="8"/>
      <c r="GB48" s="8"/>
      <c r="GC48" s="8"/>
      <c r="GD48" s="8"/>
      <c r="GE48" s="8"/>
      <c r="GF48" s="8"/>
      <c r="GG48" s="8"/>
      <c r="GH48" s="8"/>
      <c r="GI48" s="8"/>
      <c r="GJ48" s="8"/>
      <c r="GK48" s="8"/>
      <c r="GL48" s="8"/>
      <c r="GM48" s="8"/>
      <c r="GN48" s="8"/>
      <c r="GO48" s="8"/>
      <c r="GP48" s="8"/>
      <c r="GQ48" s="8"/>
      <c r="GR48" s="8"/>
      <c r="GS48" s="8"/>
      <c r="GT48" s="8"/>
      <c r="GU48" s="8"/>
      <c r="GV48" s="8"/>
      <c r="GW48" s="8"/>
      <c r="GX48" s="8"/>
      <c r="GY48" s="8"/>
      <c r="GZ48" s="8"/>
      <c r="HA48" s="8"/>
      <c r="HB48" s="8"/>
      <c r="HC48" s="8"/>
      <c r="HD48" s="8"/>
      <c r="HE48" s="8"/>
      <c r="HF48" s="8"/>
      <c r="HG48" s="8"/>
      <c r="HH48" s="8"/>
      <c r="HI48" s="8"/>
      <c r="HJ48" s="8"/>
      <c r="HK48" s="8"/>
      <c r="HL48" s="8"/>
      <c r="HM48" s="8"/>
      <c r="HN48" s="8"/>
      <c r="HO48" s="8"/>
      <c r="HP48" s="8"/>
      <c r="HQ48" s="8"/>
      <c r="HR48" s="8"/>
      <c r="HS48" s="8"/>
      <c r="HT48" s="8"/>
      <c r="HU48" s="8"/>
      <c r="HV48" s="8"/>
      <c r="HW48" s="8"/>
      <c r="HX48" s="8"/>
      <c r="HY48" s="8"/>
      <c r="HZ48" s="8"/>
      <c r="IA48" s="8"/>
      <c r="IB48" s="8"/>
      <c r="IC48" s="8"/>
      <c r="ID48" s="8"/>
      <c r="IE48" s="8"/>
      <c r="IF48" s="8"/>
      <c r="IG48" s="8"/>
      <c r="IH48" s="8"/>
      <c r="II48" s="8"/>
      <c r="IJ48" s="8"/>
      <c r="IK48" s="8"/>
      <c r="IL48" s="8"/>
      <c r="IM48" s="8"/>
      <c r="IN48" s="8"/>
      <c r="IO48" s="8"/>
    </row>
    <row r="49" spans="1:249" s="266" customFormat="1" ht="28.5" customHeight="1">
      <c r="A49" s="320" t="s">
        <v>1805</v>
      </c>
      <c r="B49" s="312" t="s">
        <v>1806</v>
      </c>
      <c r="C49" s="320"/>
      <c r="D49" s="320"/>
      <c r="E49" s="320"/>
      <c r="F49" s="889"/>
      <c r="G49" s="890"/>
      <c r="H49" s="320"/>
      <c r="I49" s="304"/>
      <c r="J49" s="838"/>
      <c r="K49" s="817">
        <f>SUM(K50:K52)</f>
        <v>178000</v>
      </c>
      <c r="L49" s="817">
        <f t="shared" ref="L49:AA49" si="12">SUM(L50:L52)</f>
        <v>0</v>
      </c>
      <c r="M49" s="817">
        <f t="shared" si="12"/>
        <v>0</v>
      </c>
      <c r="N49" s="817">
        <f t="shared" si="12"/>
        <v>178000</v>
      </c>
      <c r="O49" s="817">
        <f t="shared" si="12"/>
        <v>0</v>
      </c>
      <c r="P49" s="817">
        <f t="shared" si="12"/>
        <v>0</v>
      </c>
      <c r="Q49" s="817">
        <f t="shared" si="12"/>
        <v>0</v>
      </c>
      <c r="R49" s="817">
        <f t="shared" si="12"/>
        <v>0</v>
      </c>
      <c r="S49" s="817">
        <f t="shared" si="12"/>
        <v>0</v>
      </c>
      <c r="T49" s="817">
        <f t="shared" si="12"/>
        <v>0</v>
      </c>
      <c r="U49" s="817">
        <f t="shared" si="12"/>
        <v>0</v>
      </c>
      <c r="V49" s="817">
        <f t="shared" si="12"/>
        <v>0</v>
      </c>
      <c r="W49" s="817">
        <f t="shared" si="12"/>
        <v>0</v>
      </c>
      <c r="X49" s="817">
        <f t="shared" si="12"/>
        <v>178000</v>
      </c>
      <c r="Y49" s="817">
        <f t="shared" si="12"/>
        <v>50000</v>
      </c>
      <c r="Z49" s="817">
        <f t="shared" si="12"/>
        <v>0</v>
      </c>
      <c r="AA49" s="817">
        <f t="shared" si="12"/>
        <v>0</v>
      </c>
      <c r="AB49" s="817">
        <f>SUM(AB50:AB52)</f>
        <v>50000</v>
      </c>
      <c r="AC49" s="321"/>
      <c r="AD49" s="231"/>
      <c r="AE49" s="231"/>
      <c r="AF49" s="231"/>
      <c r="AG49" s="231"/>
      <c r="AH49" s="231"/>
      <c r="AI49" s="231"/>
      <c r="AJ49" s="231"/>
      <c r="AK49" s="231"/>
      <c r="AL49" s="231"/>
      <c r="AM49" s="231"/>
      <c r="AN49" s="231"/>
      <c r="AO49" s="231"/>
      <c r="AP49" s="231"/>
      <c r="AQ49" s="231"/>
      <c r="AR49" s="231"/>
      <c r="AS49" s="231"/>
      <c r="AT49" s="231"/>
      <c r="AU49" s="231"/>
      <c r="AV49" s="231"/>
      <c r="AW49" s="231"/>
      <c r="AX49" s="231"/>
      <c r="AY49" s="231"/>
      <c r="AZ49" s="231"/>
      <c r="BA49" s="231"/>
      <c r="BB49" s="231"/>
      <c r="BC49" s="231"/>
      <c r="BD49" s="231"/>
      <c r="BE49" s="231"/>
      <c r="BF49" s="231"/>
      <c r="BG49" s="231"/>
      <c r="BH49" s="231"/>
      <c r="BI49" s="231"/>
      <c r="BJ49" s="231"/>
      <c r="BK49" s="231"/>
      <c r="BL49" s="231"/>
      <c r="BM49" s="231"/>
      <c r="BN49" s="231"/>
      <c r="BO49" s="231"/>
      <c r="BP49" s="231"/>
      <c r="BQ49" s="231"/>
      <c r="BR49" s="231"/>
      <c r="BS49" s="231"/>
      <c r="BT49" s="231"/>
      <c r="BU49" s="231"/>
      <c r="BV49" s="231"/>
      <c r="BW49" s="231"/>
      <c r="BX49" s="231"/>
      <c r="BY49" s="231"/>
      <c r="BZ49" s="231"/>
      <c r="CA49" s="231"/>
      <c r="CB49" s="231"/>
      <c r="CC49" s="231"/>
      <c r="CD49" s="231"/>
      <c r="CE49" s="231"/>
      <c r="CF49" s="231"/>
      <c r="CG49" s="231"/>
      <c r="CH49" s="231"/>
      <c r="CI49" s="231"/>
      <c r="CJ49" s="231"/>
      <c r="CK49" s="231"/>
      <c r="CL49" s="231"/>
      <c r="CM49" s="231"/>
      <c r="CN49" s="231"/>
      <c r="CO49" s="231"/>
      <c r="CP49" s="231"/>
      <c r="CQ49" s="231"/>
      <c r="CR49" s="231"/>
      <c r="CS49" s="231"/>
      <c r="CT49" s="231"/>
      <c r="CU49" s="231"/>
      <c r="CV49" s="231"/>
      <c r="CW49" s="231"/>
      <c r="CX49" s="231"/>
      <c r="CY49" s="231"/>
      <c r="CZ49" s="231"/>
      <c r="DA49" s="231"/>
      <c r="DB49" s="231"/>
      <c r="DC49" s="231"/>
      <c r="DD49" s="231"/>
      <c r="DE49" s="231"/>
      <c r="DF49" s="231"/>
      <c r="DG49" s="231"/>
      <c r="DH49" s="231"/>
      <c r="DI49" s="231"/>
      <c r="DJ49" s="231"/>
      <c r="DK49" s="231"/>
      <c r="DL49" s="231"/>
      <c r="DM49" s="231"/>
      <c r="DN49" s="231"/>
      <c r="DO49" s="231"/>
      <c r="DP49" s="231"/>
      <c r="DQ49" s="231"/>
      <c r="DR49" s="231"/>
      <c r="DS49" s="231"/>
      <c r="DT49" s="231"/>
      <c r="DU49" s="231"/>
      <c r="DV49" s="231"/>
      <c r="DW49" s="231"/>
      <c r="DX49" s="231"/>
      <c r="DY49" s="231"/>
      <c r="DZ49" s="231"/>
      <c r="EA49" s="231"/>
      <c r="EB49" s="231"/>
      <c r="EC49" s="231"/>
      <c r="ED49" s="231"/>
      <c r="EE49" s="231"/>
      <c r="EF49" s="231"/>
      <c r="EG49" s="231"/>
      <c r="EH49" s="231"/>
      <c r="EI49" s="231"/>
      <c r="EJ49" s="231"/>
      <c r="EK49" s="231"/>
      <c r="EL49" s="231"/>
      <c r="EM49" s="231"/>
      <c r="EN49" s="231"/>
      <c r="EO49" s="231"/>
      <c r="EP49" s="231"/>
      <c r="EQ49" s="231"/>
      <c r="ER49" s="231"/>
      <c r="ES49" s="231"/>
      <c r="ET49" s="231"/>
      <c r="EU49" s="231"/>
      <c r="EV49" s="231"/>
      <c r="EW49" s="231"/>
      <c r="EX49" s="231"/>
      <c r="EY49" s="231"/>
      <c r="EZ49" s="231"/>
      <c r="FA49" s="231"/>
      <c r="FB49" s="231"/>
      <c r="FC49" s="231"/>
      <c r="FD49" s="231"/>
      <c r="FE49" s="231"/>
      <c r="FF49" s="231"/>
      <c r="FG49" s="231"/>
      <c r="FH49" s="231"/>
      <c r="FI49" s="231"/>
      <c r="FJ49" s="231"/>
      <c r="FK49" s="231"/>
      <c r="FL49" s="231"/>
      <c r="FM49" s="231"/>
      <c r="FN49" s="231"/>
      <c r="FO49" s="231"/>
      <c r="FP49" s="231"/>
      <c r="FQ49" s="231"/>
      <c r="FR49" s="231"/>
      <c r="FS49" s="231"/>
      <c r="FT49" s="231"/>
      <c r="FU49" s="231"/>
      <c r="FV49" s="231"/>
      <c r="FW49" s="231"/>
      <c r="FX49" s="231"/>
      <c r="FY49" s="231"/>
      <c r="FZ49" s="231"/>
      <c r="GA49" s="231"/>
      <c r="GB49" s="231"/>
      <c r="GC49" s="231"/>
      <c r="GD49" s="231"/>
      <c r="GE49" s="231"/>
      <c r="GF49" s="231"/>
      <c r="GG49" s="231"/>
      <c r="GH49" s="231"/>
      <c r="GI49" s="231"/>
      <c r="GJ49" s="231"/>
      <c r="GK49" s="231"/>
      <c r="GL49" s="231"/>
      <c r="GM49" s="231"/>
      <c r="GN49" s="231"/>
      <c r="GO49" s="231"/>
      <c r="GP49" s="231"/>
      <c r="GQ49" s="231"/>
      <c r="GR49" s="231"/>
      <c r="GS49" s="231"/>
      <c r="GT49" s="231"/>
      <c r="GU49" s="231"/>
      <c r="GV49" s="231"/>
      <c r="GW49" s="231"/>
      <c r="GX49" s="231"/>
      <c r="GY49" s="231"/>
      <c r="GZ49" s="231"/>
      <c r="HA49" s="231"/>
      <c r="HB49" s="231"/>
      <c r="HC49" s="231"/>
      <c r="HD49" s="231"/>
      <c r="HE49" s="231"/>
      <c r="HF49" s="231"/>
      <c r="HG49" s="231"/>
      <c r="HH49" s="231"/>
      <c r="HI49" s="231"/>
      <c r="HJ49" s="231"/>
      <c r="HK49" s="231"/>
      <c r="HL49" s="231"/>
      <c r="HM49" s="231"/>
      <c r="HN49" s="231"/>
      <c r="HO49" s="231"/>
      <c r="HP49" s="231"/>
      <c r="HQ49" s="231"/>
      <c r="HR49" s="231"/>
      <c r="HS49" s="231"/>
      <c r="HT49" s="231"/>
      <c r="HU49" s="231"/>
      <c r="HV49" s="231"/>
      <c r="HW49" s="231"/>
      <c r="HX49" s="231"/>
      <c r="HY49" s="231"/>
      <c r="HZ49" s="231"/>
      <c r="IA49" s="231"/>
      <c r="IB49" s="231"/>
      <c r="IC49" s="231"/>
      <c r="ID49" s="231"/>
      <c r="IE49" s="231"/>
      <c r="IF49" s="231"/>
      <c r="IG49" s="231"/>
      <c r="IH49" s="231"/>
      <c r="II49" s="231"/>
      <c r="IJ49" s="231"/>
      <c r="IK49" s="231"/>
      <c r="IL49" s="231"/>
      <c r="IM49" s="231"/>
      <c r="IN49" s="231"/>
      <c r="IO49" s="231"/>
    </row>
    <row r="50" spans="1:249" ht="45">
      <c r="A50" s="13">
        <v>1</v>
      </c>
      <c r="B50" s="15" t="s">
        <v>1807</v>
      </c>
      <c r="C50" s="15" t="s">
        <v>966</v>
      </c>
      <c r="D50" s="13"/>
      <c r="E50" s="13"/>
      <c r="F50" s="13" t="s">
        <v>140</v>
      </c>
      <c r="G50" s="13"/>
      <c r="H50" s="13"/>
      <c r="I50" s="98" t="s">
        <v>288</v>
      </c>
      <c r="J50" s="845"/>
      <c r="K50" s="818">
        <v>39000</v>
      </c>
      <c r="L50" s="818"/>
      <c r="M50" s="818"/>
      <c r="N50" s="818">
        <v>39000</v>
      </c>
      <c r="O50" s="818"/>
      <c r="P50" s="818"/>
      <c r="Q50" s="818"/>
      <c r="R50" s="818"/>
      <c r="S50" s="818"/>
      <c r="T50" s="818"/>
      <c r="U50" s="818"/>
      <c r="V50" s="818"/>
      <c r="W50" s="818"/>
      <c r="X50" s="818">
        <v>39000</v>
      </c>
      <c r="Y50" s="818">
        <f>AB50</f>
        <v>15000</v>
      </c>
      <c r="Z50" s="818"/>
      <c r="AA50" s="818"/>
      <c r="AB50" s="818">
        <v>15000</v>
      </c>
      <c r="AC50" s="117" t="s">
        <v>1808</v>
      </c>
      <c r="AD50" s="268"/>
      <c r="AE50" s="268"/>
      <c r="AF50" s="268"/>
      <c r="AG50" s="268"/>
      <c r="AH50" s="268"/>
      <c r="AI50" s="268"/>
      <c r="AJ50" s="268"/>
      <c r="AK50" s="268"/>
      <c r="AL50" s="268"/>
      <c r="AM50" s="268"/>
      <c r="AN50" s="268"/>
      <c r="AO50" s="268"/>
      <c r="AP50" s="268"/>
      <c r="AQ50" s="268"/>
      <c r="AR50" s="268"/>
      <c r="AS50" s="268"/>
      <c r="AT50" s="268"/>
      <c r="AU50" s="268"/>
      <c r="AV50" s="268"/>
      <c r="AW50" s="268"/>
      <c r="AX50" s="268"/>
      <c r="AY50" s="268"/>
      <c r="AZ50" s="268"/>
      <c r="BA50" s="268"/>
      <c r="BB50" s="268"/>
      <c r="BC50" s="268"/>
      <c r="BD50" s="268"/>
      <c r="BE50" s="268"/>
      <c r="BF50" s="268"/>
      <c r="BG50" s="268"/>
      <c r="BH50" s="268"/>
      <c r="BI50" s="268"/>
      <c r="BJ50" s="268"/>
      <c r="BK50" s="268"/>
      <c r="BL50" s="268"/>
      <c r="BM50" s="268"/>
      <c r="BN50" s="268"/>
      <c r="BO50" s="268"/>
      <c r="BP50" s="268"/>
      <c r="BQ50" s="268"/>
      <c r="BR50" s="268"/>
      <c r="BS50" s="268"/>
      <c r="BT50" s="268"/>
      <c r="BU50" s="268"/>
      <c r="BV50" s="268"/>
      <c r="BW50" s="268"/>
      <c r="BX50" s="268"/>
      <c r="BY50" s="268"/>
      <c r="BZ50" s="268"/>
      <c r="CA50" s="268"/>
      <c r="CB50" s="268"/>
      <c r="CC50" s="268"/>
      <c r="CD50" s="268"/>
      <c r="CE50" s="268"/>
      <c r="CF50" s="268"/>
      <c r="CG50" s="268"/>
      <c r="CH50" s="268"/>
      <c r="CI50" s="268"/>
      <c r="CJ50" s="268"/>
      <c r="CK50" s="268"/>
      <c r="CL50" s="268"/>
      <c r="CM50" s="268"/>
      <c r="CN50" s="268"/>
      <c r="CO50" s="268"/>
      <c r="CP50" s="268"/>
      <c r="CQ50" s="268"/>
      <c r="CR50" s="268"/>
      <c r="CS50" s="268"/>
      <c r="CT50" s="268"/>
      <c r="CU50" s="268"/>
      <c r="CV50" s="268"/>
      <c r="CW50" s="268"/>
      <c r="CX50" s="268"/>
      <c r="CY50" s="268"/>
      <c r="CZ50" s="268"/>
      <c r="DA50" s="268"/>
      <c r="DB50" s="268"/>
      <c r="DC50" s="268"/>
      <c r="DD50" s="268"/>
      <c r="DE50" s="268"/>
      <c r="DF50" s="268"/>
      <c r="DG50" s="268"/>
      <c r="DH50" s="268"/>
      <c r="DI50" s="268"/>
      <c r="DJ50" s="268"/>
      <c r="DK50" s="268"/>
      <c r="DL50" s="268"/>
      <c r="DM50" s="268"/>
      <c r="DN50" s="268"/>
      <c r="DO50" s="268"/>
      <c r="DP50" s="268"/>
      <c r="DQ50" s="268"/>
      <c r="DR50" s="268"/>
      <c r="DS50" s="268"/>
      <c r="DT50" s="268"/>
      <c r="DU50" s="268"/>
      <c r="DV50" s="268"/>
      <c r="DW50" s="268"/>
      <c r="DX50" s="268"/>
      <c r="DY50" s="268"/>
      <c r="DZ50" s="268"/>
      <c r="EA50" s="268"/>
      <c r="EB50" s="268"/>
      <c r="EC50" s="268"/>
      <c r="ED50" s="268"/>
      <c r="EE50" s="268"/>
      <c r="EF50" s="268"/>
      <c r="EG50" s="268"/>
      <c r="EH50" s="268"/>
      <c r="EI50" s="268"/>
      <c r="EJ50" s="268"/>
      <c r="EK50" s="268"/>
      <c r="EL50" s="268"/>
      <c r="EM50" s="268"/>
      <c r="EN50" s="268"/>
      <c r="EO50" s="268"/>
      <c r="EP50" s="268"/>
      <c r="EQ50" s="268"/>
      <c r="ER50" s="268"/>
      <c r="ES50" s="268"/>
      <c r="ET50" s="268"/>
      <c r="EU50" s="268"/>
      <c r="EV50" s="268"/>
      <c r="EW50" s="268"/>
      <c r="EX50" s="268"/>
      <c r="EY50" s="268"/>
      <c r="EZ50" s="268"/>
      <c r="FA50" s="268"/>
      <c r="FB50" s="268"/>
      <c r="FC50" s="268"/>
      <c r="FD50" s="268"/>
      <c r="FE50" s="268"/>
      <c r="FF50" s="268"/>
      <c r="FG50" s="268"/>
      <c r="FH50" s="268"/>
      <c r="FI50" s="268"/>
      <c r="FJ50" s="268"/>
      <c r="FK50" s="268"/>
      <c r="FL50" s="268"/>
      <c r="FM50" s="268"/>
      <c r="FN50" s="268"/>
      <c r="FO50" s="268"/>
      <c r="FP50" s="268"/>
      <c r="FQ50" s="268"/>
      <c r="FR50" s="268"/>
      <c r="FS50" s="268"/>
      <c r="FT50" s="268"/>
      <c r="FU50" s="268"/>
      <c r="FV50" s="268"/>
      <c r="FW50" s="268"/>
      <c r="FX50" s="268"/>
      <c r="FY50" s="268"/>
      <c r="FZ50" s="268"/>
      <c r="GA50" s="268"/>
      <c r="GB50" s="268"/>
      <c r="GC50" s="268"/>
      <c r="GD50" s="268"/>
      <c r="GE50" s="268"/>
      <c r="GF50" s="268"/>
      <c r="GG50" s="268"/>
      <c r="GH50" s="268"/>
      <c r="GI50" s="268"/>
      <c r="GJ50" s="268"/>
      <c r="GK50" s="268"/>
      <c r="GL50" s="268"/>
      <c r="GM50" s="268"/>
      <c r="GN50" s="268"/>
      <c r="GO50" s="268"/>
      <c r="GP50" s="268"/>
      <c r="GQ50" s="268"/>
      <c r="GR50" s="268"/>
      <c r="GS50" s="268"/>
      <c r="GT50" s="268"/>
      <c r="GU50" s="268"/>
      <c r="GV50" s="268"/>
      <c r="GW50" s="268"/>
      <c r="GX50" s="268"/>
      <c r="GY50" s="268"/>
      <c r="GZ50" s="268"/>
      <c r="HA50" s="268"/>
      <c r="HB50" s="268"/>
      <c r="HC50" s="268"/>
      <c r="HD50" s="268"/>
      <c r="HE50" s="268"/>
      <c r="HF50" s="268"/>
      <c r="HG50" s="268"/>
      <c r="HH50" s="268"/>
      <c r="HI50" s="268"/>
      <c r="HJ50" s="268"/>
      <c r="HK50" s="268"/>
      <c r="HL50" s="268"/>
      <c r="HM50" s="268"/>
      <c r="HN50" s="268"/>
      <c r="HO50" s="268"/>
      <c r="HP50" s="268"/>
      <c r="HQ50" s="268"/>
      <c r="HR50" s="268"/>
      <c r="HS50" s="268"/>
      <c r="HT50" s="268"/>
      <c r="HU50" s="268"/>
      <c r="HV50" s="268"/>
      <c r="HW50" s="268"/>
      <c r="HX50" s="268"/>
      <c r="HY50" s="268"/>
      <c r="HZ50" s="268"/>
      <c r="IA50" s="268"/>
      <c r="IB50" s="268"/>
      <c r="IC50" s="268"/>
      <c r="ID50" s="268"/>
      <c r="IE50" s="268"/>
      <c r="IF50" s="268"/>
      <c r="IG50" s="268"/>
      <c r="IH50" s="268"/>
      <c r="II50" s="268"/>
      <c r="IJ50" s="268"/>
      <c r="IK50" s="268"/>
      <c r="IL50" s="268"/>
      <c r="IM50" s="268"/>
      <c r="IN50" s="268"/>
      <c r="IO50" s="268"/>
    </row>
    <row r="51" spans="1:249" ht="45">
      <c r="A51" s="13">
        <v>2</v>
      </c>
      <c r="B51" s="15" t="s">
        <v>1809</v>
      </c>
      <c r="C51" s="15" t="s">
        <v>966</v>
      </c>
      <c r="D51" s="13"/>
      <c r="E51" s="13"/>
      <c r="F51" s="13" t="s">
        <v>140</v>
      </c>
      <c r="G51" s="13"/>
      <c r="H51" s="13"/>
      <c r="I51" s="98" t="s">
        <v>288</v>
      </c>
      <c r="J51" s="845"/>
      <c r="K51" s="818">
        <v>38000</v>
      </c>
      <c r="L51" s="818"/>
      <c r="M51" s="818"/>
      <c r="N51" s="818">
        <v>38000</v>
      </c>
      <c r="O51" s="818"/>
      <c r="P51" s="818"/>
      <c r="Q51" s="818"/>
      <c r="R51" s="818"/>
      <c r="S51" s="818"/>
      <c r="T51" s="818"/>
      <c r="U51" s="818"/>
      <c r="V51" s="818"/>
      <c r="W51" s="818"/>
      <c r="X51" s="818">
        <v>38000</v>
      </c>
      <c r="Y51" s="818">
        <f>AB51</f>
        <v>10000</v>
      </c>
      <c r="Z51" s="818"/>
      <c r="AA51" s="818"/>
      <c r="AB51" s="818">
        <v>10000</v>
      </c>
      <c r="AC51" s="117" t="s">
        <v>1808</v>
      </c>
      <c r="AD51" s="268"/>
      <c r="AE51" s="268"/>
      <c r="AF51" s="268"/>
      <c r="AG51" s="268"/>
      <c r="AH51" s="268"/>
      <c r="AI51" s="268"/>
      <c r="AJ51" s="268"/>
      <c r="AK51" s="268"/>
      <c r="AL51" s="268"/>
      <c r="AM51" s="268"/>
      <c r="AN51" s="268"/>
      <c r="AO51" s="268"/>
      <c r="AP51" s="268"/>
      <c r="AQ51" s="268"/>
      <c r="AR51" s="268"/>
      <c r="AS51" s="268"/>
      <c r="AT51" s="268"/>
      <c r="AU51" s="268"/>
      <c r="AV51" s="268"/>
      <c r="AW51" s="268"/>
      <c r="AX51" s="268"/>
      <c r="AY51" s="268"/>
      <c r="AZ51" s="268"/>
      <c r="BA51" s="268"/>
      <c r="BB51" s="268"/>
      <c r="BC51" s="268"/>
      <c r="BD51" s="268"/>
      <c r="BE51" s="268"/>
      <c r="BF51" s="268"/>
      <c r="BG51" s="268"/>
      <c r="BH51" s="268"/>
      <c r="BI51" s="268"/>
      <c r="BJ51" s="268"/>
      <c r="BK51" s="268"/>
      <c r="BL51" s="268"/>
      <c r="BM51" s="268"/>
      <c r="BN51" s="268"/>
      <c r="BO51" s="268"/>
      <c r="BP51" s="268"/>
      <c r="BQ51" s="268"/>
      <c r="BR51" s="268"/>
      <c r="BS51" s="268"/>
      <c r="BT51" s="268"/>
      <c r="BU51" s="268"/>
      <c r="BV51" s="268"/>
      <c r="BW51" s="268"/>
      <c r="BX51" s="268"/>
      <c r="BY51" s="268"/>
      <c r="BZ51" s="268"/>
      <c r="CA51" s="268"/>
      <c r="CB51" s="268"/>
      <c r="CC51" s="268"/>
      <c r="CD51" s="268"/>
      <c r="CE51" s="268"/>
      <c r="CF51" s="268"/>
      <c r="CG51" s="268"/>
      <c r="CH51" s="268"/>
      <c r="CI51" s="268"/>
      <c r="CJ51" s="268"/>
      <c r="CK51" s="268"/>
      <c r="CL51" s="268"/>
      <c r="CM51" s="268"/>
      <c r="CN51" s="268"/>
      <c r="CO51" s="268"/>
      <c r="CP51" s="268"/>
      <c r="CQ51" s="268"/>
      <c r="CR51" s="268"/>
      <c r="CS51" s="268"/>
      <c r="CT51" s="268"/>
      <c r="CU51" s="268"/>
      <c r="CV51" s="268"/>
      <c r="CW51" s="268"/>
      <c r="CX51" s="268"/>
      <c r="CY51" s="268"/>
      <c r="CZ51" s="268"/>
      <c r="DA51" s="268"/>
      <c r="DB51" s="268"/>
      <c r="DC51" s="268"/>
      <c r="DD51" s="268"/>
      <c r="DE51" s="268"/>
      <c r="DF51" s="268"/>
      <c r="DG51" s="268"/>
      <c r="DH51" s="268"/>
      <c r="DI51" s="268"/>
      <c r="DJ51" s="268"/>
      <c r="DK51" s="268"/>
      <c r="DL51" s="268"/>
      <c r="DM51" s="268"/>
      <c r="DN51" s="268"/>
      <c r="DO51" s="268"/>
      <c r="DP51" s="268"/>
      <c r="DQ51" s="268"/>
      <c r="DR51" s="268"/>
      <c r="DS51" s="268"/>
      <c r="DT51" s="268"/>
      <c r="DU51" s="268"/>
      <c r="DV51" s="268"/>
      <c r="DW51" s="268"/>
      <c r="DX51" s="268"/>
      <c r="DY51" s="268"/>
      <c r="DZ51" s="268"/>
      <c r="EA51" s="268"/>
      <c r="EB51" s="268"/>
      <c r="EC51" s="268"/>
      <c r="ED51" s="268"/>
      <c r="EE51" s="268"/>
      <c r="EF51" s="268"/>
      <c r="EG51" s="268"/>
      <c r="EH51" s="268"/>
      <c r="EI51" s="268"/>
      <c r="EJ51" s="268"/>
      <c r="EK51" s="268"/>
      <c r="EL51" s="268"/>
      <c r="EM51" s="268"/>
      <c r="EN51" s="268"/>
      <c r="EO51" s="268"/>
      <c r="EP51" s="268"/>
      <c r="EQ51" s="268"/>
      <c r="ER51" s="268"/>
      <c r="ES51" s="268"/>
      <c r="ET51" s="268"/>
      <c r="EU51" s="268"/>
      <c r="EV51" s="268"/>
      <c r="EW51" s="268"/>
      <c r="EX51" s="268"/>
      <c r="EY51" s="268"/>
      <c r="EZ51" s="268"/>
      <c r="FA51" s="268"/>
      <c r="FB51" s="268"/>
      <c r="FC51" s="268"/>
      <c r="FD51" s="268"/>
      <c r="FE51" s="268"/>
      <c r="FF51" s="268"/>
      <c r="FG51" s="268"/>
      <c r="FH51" s="268"/>
      <c r="FI51" s="268"/>
      <c r="FJ51" s="268"/>
      <c r="FK51" s="268"/>
      <c r="FL51" s="268"/>
      <c r="FM51" s="268"/>
      <c r="FN51" s="268"/>
      <c r="FO51" s="268"/>
      <c r="FP51" s="268"/>
      <c r="FQ51" s="268"/>
      <c r="FR51" s="268"/>
      <c r="FS51" s="268"/>
      <c r="FT51" s="268"/>
      <c r="FU51" s="268"/>
      <c r="FV51" s="268"/>
      <c r="FW51" s="268"/>
      <c r="FX51" s="268"/>
      <c r="FY51" s="268"/>
      <c r="FZ51" s="268"/>
      <c r="GA51" s="268"/>
      <c r="GB51" s="268"/>
      <c r="GC51" s="268"/>
      <c r="GD51" s="268"/>
      <c r="GE51" s="268"/>
      <c r="GF51" s="268"/>
      <c r="GG51" s="268"/>
      <c r="GH51" s="268"/>
      <c r="GI51" s="268"/>
      <c r="GJ51" s="268"/>
      <c r="GK51" s="268"/>
      <c r="GL51" s="268"/>
      <c r="GM51" s="268"/>
      <c r="GN51" s="268"/>
      <c r="GO51" s="268"/>
      <c r="GP51" s="268"/>
      <c r="GQ51" s="268"/>
      <c r="GR51" s="268"/>
      <c r="GS51" s="268"/>
      <c r="GT51" s="268"/>
      <c r="GU51" s="268"/>
      <c r="GV51" s="268"/>
      <c r="GW51" s="268"/>
      <c r="GX51" s="268"/>
      <c r="GY51" s="268"/>
      <c r="GZ51" s="268"/>
      <c r="HA51" s="268"/>
      <c r="HB51" s="268"/>
      <c r="HC51" s="268"/>
      <c r="HD51" s="268"/>
      <c r="HE51" s="268"/>
      <c r="HF51" s="268"/>
      <c r="HG51" s="268"/>
      <c r="HH51" s="268"/>
      <c r="HI51" s="268"/>
      <c r="HJ51" s="268"/>
      <c r="HK51" s="268"/>
      <c r="HL51" s="268"/>
      <c r="HM51" s="268"/>
      <c r="HN51" s="268"/>
      <c r="HO51" s="268"/>
      <c r="HP51" s="268"/>
      <c r="HQ51" s="268"/>
      <c r="HR51" s="268"/>
      <c r="HS51" s="268"/>
      <c r="HT51" s="268"/>
      <c r="HU51" s="268"/>
      <c r="HV51" s="268"/>
      <c r="HW51" s="268"/>
      <c r="HX51" s="268"/>
      <c r="HY51" s="268"/>
      <c r="HZ51" s="268"/>
      <c r="IA51" s="268"/>
      <c r="IB51" s="268"/>
      <c r="IC51" s="268"/>
      <c r="ID51" s="268"/>
      <c r="IE51" s="268"/>
      <c r="IF51" s="268"/>
      <c r="IG51" s="268"/>
      <c r="IH51" s="268"/>
      <c r="II51" s="268"/>
      <c r="IJ51" s="268"/>
      <c r="IK51" s="268"/>
      <c r="IL51" s="268"/>
      <c r="IM51" s="268"/>
      <c r="IN51" s="268"/>
      <c r="IO51" s="268"/>
    </row>
    <row r="52" spans="1:249" ht="45">
      <c r="A52" s="13">
        <v>3</v>
      </c>
      <c r="B52" s="15" t="s">
        <v>1810</v>
      </c>
      <c r="C52" s="15" t="s">
        <v>966</v>
      </c>
      <c r="D52" s="13"/>
      <c r="E52" s="13"/>
      <c r="F52" s="13" t="s">
        <v>140</v>
      </c>
      <c r="G52" s="13"/>
      <c r="H52" s="13"/>
      <c r="I52" s="98" t="s">
        <v>288</v>
      </c>
      <c r="J52" s="845"/>
      <c r="K52" s="818">
        <v>101000</v>
      </c>
      <c r="L52" s="818"/>
      <c r="M52" s="818"/>
      <c r="N52" s="818">
        <v>101000</v>
      </c>
      <c r="O52" s="818"/>
      <c r="P52" s="818"/>
      <c r="Q52" s="818"/>
      <c r="R52" s="818"/>
      <c r="S52" s="818"/>
      <c r="T52" s="818"/>
      <c r="U52" s="818"/>
      <c r="V52" s="818"/>
      <c r="W52" s="818"/>
      <c r="X52" s="818">
        <v>101000</v>
      </c>
      <c r="Y52" s="818">
        <f>AB52</f>
        <v>25000</v>
      </c>
      <c r="Z52" s="818"/>
      <c r="AA52" s="818"/>
      <c r="AB52" s="818">
        <v>25000</v>
      </c>
      <c r="AC52" s="117" t="s">
        <v>1808</v>
      </c>
      <c r="AD52" s="268"/>
      <c r="AE52" s="268"/>
      <c r="AF52" s="268"/>
      <c r="AG52" s="268"/>
      <c r="AH52" s="268"/>
      <c r="AI52" s="268"/>
      <c r="AJ52" s="268"/>
      <c r="AK52" s="268"/>
      <c r="AL52" s="268"/>
      <c r="AM52" s="268"/>
      <c r="AN52" s="268"/>
      <c r="AO52" s="268"/>
      <c r="AP52" s="268"/>
      <c r="AQ52" s="268"/>
      <c r="AR52" s="268"/>
      <c r="AS52" s="268"/>
      <c r="AT52" s="268"/>
      <c r="AU52" s="268"/>
      <c r="AV52" s="268"/>
      <c r="AW52" s="268"/>
      <c r="AX52" s="268"/>
      <c r="AY52" s="268"/>
      <c r="AZ52" s="268"/>
      <c r="BA52" s="268"/>
      <c r="BB52" s="268"/>
      <c r="BC52" s="268"/>
      <c r="BD52" s="268"/>
      <c r="BE52" s="268"/>
      <c r="BF52" s="268"/>
      <c r="BG52" s="268"/>
      <c r="BH52" s="268"/>
      <c r="BI52" s="268"/>
      <c r="BJ52" s="268"/>
      <c r="BK52" s="268"/>
      <c r="BL52" s="268"/>
      <c r="BM52" s="268"/>
      <c r="BN52" s="268"/>
      <c r="BO52" s="268"/>
      <c r="BP52" s="268"/>
      <c r="BQ52" s="268"/>
      <c r="BR52" s="268"/>
      <c r="BS52" s="268"/>
      <c r="BT52" s="268"/>
      <c r="BU52" s="268"/>
      <c r="BV52" s="268"/>
      <c r="BW52" s="268"/>
      <c r="BX52" s="268"/>
      <c r="BY52" s="268"/>
      <c r="BZ52" s="268"/>
      <c r="CA52" s="268"/>
      <c r="CB52" s="268"/>
      <c r="CC52" s="268"/>
      <c r="CD52" s="268"/>
      <c r="CE52" s="268"/>
      <c r="CF52" s="268"/>
      <c r="CG52" s="268"/>
      <c r="CH52" s="268"/>
      <c r="CI52" s="268"/>
      <c r="CJ52" s="268"/>
      <c r="CK52" s="268"/>
      <c r="CL52" s="268"/>
      <c r="CM52" s="268"/>
      <c r="CN52" s="268"/>
      <c r="CO52" s="268"/>
      <c r="CP52" s="268"/>
      <c r="CQ52" s="268"/>
      <c r="CR52" s="268"/>
      <c r="CS52" s="268"/>
      <c r="CT52" s="268"/>
      <c r="CU52" s="268"/>
      <c r="CV52" s="268"/>
      <c r="CW52" s="268"/>
      <c r="CX52" s="268"/>
      <c r="CY52" s="268"/>
      <c r="CZ52" s="268"/>
      <c r="DA52" s="268"/>
      <c r="DB52" s="268"/>
      <c r="DC52" s="268"/>
      <c r="DD52" s="268"/>
      <c r="DE52" s="268"/>
      <c r="DF52" s="268"/>
      <c r="DG52" s="268"/>
      <c r="DH52" s="268"/>
      <c r="DI52" s="268"/>
      <c r="DJ52" s="268"/>
      <c r="DK52" s="268"/>
      <c r="DL52" s="268"/>
      <c r="DM52" s="268"/>
      <c r="DN52" s="268"/>
      <c r="DO52" s="268"/>
      <c r="DP52" s="268"/>
      <c r="DQ52" s="268"/>
      <c r="DR52" s="268"/>
      <c r="DS52" s="268"/>
      <c r="DT52" s="268"/>
      <c r="DU52" s="268"/>
      <c r="DV52" s="268"/>
      <c r="DW52" s="268"/>
      <c r="DX52" s="268"/>
      <c r="DY52" s="268"/>
      <c r="DZ52" s="268"/>
      <c r="EA52" s="268"/>
      <c r="EB52" s="268"/>
      <c r="EC52" s="268"/>
      <c r="ED52" s="268"/>
      <c r="EE52" s="268"/>
      <c r="EF52" s="268"/>
      <c r="EG52" s="268"/>
      <c r="EH52" s="268"/>
      <c r="EI52" s="268"/>
      <c r="EJ52" s="268"/>
      <c r="EK52" s="268"/>
      <c r="EL52" s="268"/>
      <c r="EM52" s="268"/>
      <c r="EN52" s="268"/>
      <c r="EO52" s="268"/>
      <c r="EP52" s="268"/>
      <c r="EQ52" s="268"/>
      <c r="ER52" s="268"/>
      <c r="ES52" s="268"/>
      <c r="ET52" s="268"/>
      <c r="EU52" s="268"/>
      <c r="EV52" s="268"/>
      <c r="EW52" s="268"/>
      <c r="EX52" s="268"/>
      <c r="EY52" s="268"/>
      <c r="EZ52" s="268"/>
      <c r="FA52" s="268"/>
      <c r="FB52" s="268"/>
      <c r="FC52" s="268"/>
      <c r="FD52" s="268"/>
      <c r="FE52" s="268"/>
      <c r="FF52" s="268"/>
      <c r="FG52" s="268"/>
      <c r="FH52" s="268"/>
      <c r="FI52" s="268"/>
      <c r="FJ52" s="268"/>
      <c r="FK52" s="268"/>
      <c r="FL52" s="268"/>
      <c r="FM52" s="268"/>
      <c r="FN52" s="268"/>
      <c r="FO52" s="268"/>
      <c r="FP52" s="268"/>
      <c r="FQ52" s="268"/>
      <c r="FR52" s="268"/>
      <c r="FS52" s="268"/>
      <c r="FT52" s="268"/>
      <c r="FU52" s="268"/>
      <c r="FV52" s="268"/>
      <c r="FW52" s="268"/>
      <c r="FX52" s="268"/>
      <c r="FY52" s="268"/>
      <c r="FZ52" s="268"/>
      <c r="GA52" s="268"/>
      <c r="GB52" s="268"/>
      <c r="GC52" s="268"/>
      <c r="GD52" s="268"/>
      <c r="GE52" s="268"/>
      <c r="GF52" s="268"/>
      <c r="GG52" s="268"/>
      <c r="GH52" s="268"/>
      <c r="GI52" s="268"/>
      <c r="GJ52" s="268"/>
      <c r="GK52" s="268"/>
      <c r="GL52" s="268"/>
      <c r="GM52" s="268"/>
      <c r="GN52" s="268"/>
      <c r="GO52" s="268"/>
      <c r="GP52" s="268"/>
      <c r="GQ52" s="268"/>
      <c r="GR52" s="268"/>
      <c r="GS52" s="268"/>
      <c r="GT52" s="268"/>
      <c r="GU52" s="268"/>
      <c r="GV52" s="268"/>
      <c r="GW52" s="268"/>
      <c r="GX52" s="268"/>
      <c r="GY52" s="268"/>
      <c r="GZ52" s="268"/>
      <c r="HA52" s="268"/>
      <c r="HB52" s="268"/>
      <c r="HC52" s="268"/>
      <c r="HD52" s="268"/>
      <c r="HE52" s="268"/>
      <c r="HF52" s="268"/>
      <c r="HG52" s="268"/>
      <c r="HH52" s="268"/>
      <c r="HI52" s="268"/>
      <c r="HJ52" s="268"/>
      <c r="HK52" s="268"/>
      <c r="HL52" s="268"/>
      <c r="HM52" s="268"/>
      <c r="HN52" s="268"/>
      <c r="HO52" s="268"/>
      <c r="HP52" s="268"/>
      <c r="HQ52" s="268"/>
      <c r="HR52" s="268"/>
      <c r="HS52" s="268"/>
      <c r="HT52" s="268"/>
      <c r="HU52" s="268"/>
      <c r="HV52" s="268"/>
      <c r="HW52" s="268"/>
      <c r="HX52" s="268"/>
      <c r="HY52" s="268"/>
      <c r="HZ52" s="268"/>
      <c r="IA52" s="268"/>
      <c r="IB52" s="268"/>
      <c r="IC52" s="268"/>
      <c r="ID52" s="268"/>
      <c r="IE52" s="268"/>
      <c r="IF52" s="268"/>
      <c r="IG52" s="268"/>
      <c r="IH52" s="268"/>
      <c r="II52" s="268"/>
      <c r="IJ52" s="268"/>
      <c r="IK52" s="268"/>
      <c r="IL52" s="268"/>
      <c r="IM52" s="268"/>
      <c r="IN52" s="268"/>
      <c r="IO52" s="268"/>
    </row>
    <row r="53" spans="1:249" s="23" customFormat="1" ht="19.5" customHeight="1">
      <c r="B53" s="148" t="s">
        <v>1811</v>
      </c>
      <c r="G53" s="269"/>
      <c r="I53" s="269"/>
      <c r="J53" s="269"/>
    </row>
    <row r="54" spans="1:249" s="813" customFormat="1" ht="22.5" customHeight="1">
      <c r="B54" s="1146" t="s">
        <v>1874</v>
      </c>
      <c r="C54" s="1147"/>
      <c r="D54" s="1147"/>
      <c r="E54" s="1147"/>
      <c r="F54" s="1147"/>
      <c r="G54" s="1147"/>
      <c r="H54" s="1147"/>
      <c r="I54" s="1147"/>
      <c r="J54" s="1147"/>
      <c r="K54" s="1147"/>
      <c r="L54" s="1147"/>
    </row>
    <row r="55" spans="1:249" s="813" customFormat="1" ht="18.75" customHeight="1">
      <c r="B55" s="1146" t="s">
        <v>1812</v>
      </c>
      <c r="C55" s="1147"/>
      <c r="D55" s="1147"/>
      <c r="E55" s="1147"/>
      <c r="F55" s="1147"/>
      <c r="G55" s="1147"/>
      <c r="H55" s="1147"/>
      <c r="I55" s="1147"/>
      <c r="J55" s="1147"/>
      <c r="K55" s="1147"/>
      <c r="L55" s="1147"/>
    </row>
    <row r="56" spans="1:249" s="23" customFormat="1">
      <c r="G56" s="269"/>
      <c r="I56" s="269"/>
      <c r="J56" s="269"/>
    </row>
  </sheetData>
  <mergeCells count="27">
    <mergeCell ref="B55:L55"/>
    <mergeCell ref="Q7:S7"/>
    <mergeCell ref="T7:T8"/>
    <mergeCell ref="U7:W7"/>
    <mergeCell ref="Y7:Y8"/>
    <mergeCell ref="Z7:AB7"/>
    <mergeCell ref="B54:L54"/>
    <mergeCell ref="P5:S6"/>
    <mergeCell ref="T5:W6"/>
    <mergeCell ref="X5:X8"/>
    <mergeCell ref="Y5:AB6"/>
    <mergeCell ref="A1:AC1"/>
    <mergeCell ref="A2:AC2"/>
    <mergeCell ref="A3:AC3"/>
    <mergeCell ref="AA4:AC4"/>
    <mergeCell ref="A5:A8"/>
    <mergeCell ref="B5:B8"/>
    <mergeCell ref="F5:F8"/>
    <mergeCell ref="G5:G8"/>
    <mergeCell ref="I5:I8"/>
    <mergeCell ref="J5:N5"/>
    <mergeCell ref="AC5:AC8"/>
    <mergeCell ref="J6:J8"/>
    <mergeCell ref="K6:N6"/>
    <mergeCell ref="K7:K8"/>
    <mergeCell ref="L7:N7"/>
    <mergeCell ref="P7:P8"/>
  </mergeCells>
  <printOptions horizontalCentered="1"/>
  <pageMargins left="0.11811023622047245" right="0.11811023622047245" top="0.39370078740157483" bottom="0.31496062992125984" header="0.31496062992125984" footer="0.11811023622047245"/>
  <pageSetup paperSize="9" scale="44" fitToHeight="0" orientation="landscape" r:id="rId1"/>
  <headerFooter differentFirst="1">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76"/>
  <sheetViews>
    <sheetView zoomScaleNormal="100" zoomScaleSheetLayoutView="77" workbookViewId="0">
      <selection activeCell="A3" sqref="A3:G3"/>
    </sheetView>
  </sheetViews>
  <sheetFormatPr defaultColWidth="9.140625" defaultRowHeight="18.75"/>
  <cols>
    <col min="1" max="1" width="6.5703125" style="89" customWidth="1"/>
    <col min="2" max="2" width="25.42578125" style="90" customWidth="1"/>
    <col min="3" max="3" width="30.28515625" style="90" customWidth="1"/>
    <col min="4" max="4" width="14.85546875" style="90" customWidth="1"/>
    <col min="5" max="5" width="20" style="90" customWidth="1"/>
    <col min="6" max="6" width="19.140625" style="90" customWidth="1"/>
    <col min="7" max="7" width="16.28515625" style="90" customWidth="1"/>
    <col min="8" max="9" width="0" style="90" hidden="1" customWidth="1"/>
    <col min="10" max="10" width="13" style="90" hidden="1" customWidth="1"/>
    <col min="11" max="12" width="0" style="90" hidden="1" customWidth="1"/>
    <col min="13" max="16384" width="9.140625" style="90"/>
  </cols>
  <sheetData>
    <row r="1" spans="1:11" s="76" customFormat="1" ht="20.25" customHeight="1">
      <c r="A1" s="1132" t="s">
        <v>1880</v>
      </c>
      <c r="B1" s="1132"/>
      <c r="C1" s="1132"/>
      <c r="D1" s="1132"/>
      <c r="E1" s="1132"/>
      <c r="F1" s="1132"/>
      <c r="G1" s="1132"/>
    </row>
    <row r="2" spans="1:11" s="76" customFormat="1" ht="22.5" customHeight="1">
      <c r="A2" s="1133" t="s">
        <v>1428</v>
      </c>
      <c r="B2" s="1133"/>
      <c r="C2" s="1133"/>
      <c r="D2" s="1133"/>
      <c r="E2" s="1133"/>
      <c r="F2" s="1133"/>
      <c r="G2" s="1133"/>
    </row>
    <row r="3" spans="1:11" s="76" customFormat="1" ht="24.75" customHeight="1">
      <c r="A3" s="1134" t="s">
        <v>1881</v>
      </c>
      <c r="B3" s="1134"/>
      <c r="C3" s="1134"/>
      <c r="D3" s="1134"/>
      <c r="E3" s="1134"/>
      <c r="F3" s="1134"/>
      <c r="G3" s="1134"/>
    </row>
    <row r="4" spans="1:11" s="78" customFormat="1" ht="25.5" customHeight="1">
      <c r="A4" s="77"/>
      <c r="B4" s="77"/>
      <c r="C4" s="77"/>
      <c r="D4" s="77"/>
      <c r="E4" s="77"/>
      <c r="F4" s="1135" t="s">
        <v>1392</v>
      </c>
      <c r="G4" s="1135"/>
    </row>
    <row r="5" spans="1:11" s="50" customFormat="1" ht="29.25" customHeight="1">
      <c r="A5" s="1136" t="s">
        <v>2</v>
      </c>
      <c r="B5" s="1136" t="s">
        <v>1429</v>
      </c>
      <c r="C5" s="1136" t="s">
        <v>1430</v>
      </c>
      <c r="D5" s="1137" t="s">
        <v>1431</v>
      </c>
      <c r="E5" s="1137"/>
      <c r="F5" s="1137"/>
      <c r="G5" s="1137"/>
    </row>
    <row r="6" spans="1:11" s="50" customFormat="1" ht="83.25" customHeight="1">
      <c r="A6" s="1136"/>
      <c r="B6" s="1136"/>
      <c r="C6" s="1136"/>
      <c r="D6" s="79" t="s">
        <v>1432</v>
      </c>
      <c r="E6" s="79" t="s">
        <v>1433</v>
      </c>
      <c r="F6" s="79" t="s">
        <v>1434</v>
      </c>
      <c r="G6" s="79" t="s">
        <v>1435</v>
      </c>
    </row>
    <row r="7" spans="1:11" s="78" customFormat="1" ht="19.5" customHeight="1">
      <c r="A7" s="80">
        <v>1</v>
      </c>
      <c r="B7" s="80">
        <v>2</v>
      </c>
      <c r="C7" s="80">
        <v>3</v>
      </c>
      <c r="D7" s="80" t="s">
        <v>1436</v>
      </c>
      <c r="E7" s="80">
        <v>5</v>
      </c>
      <c r="F7" s="80">
        <v>6</v>
      </c>
      <c r="G7" s="80">
        <v>7</v>
      </c>
    </row>
    <row r="8" spans="1:11" s="82" customFormat="1" ht="24" customHeight="1">
      <c r="A8" s="81"/>
      <c r="B8" s="81" t="s">
        <v>1661</v>
      </c>
      <c r="C8" s="81"/>
      <c r="D8" s="131">
        <f>SUM(E8:G8)</f>
        <v>1283353</v>
      </c>
      <c r="E8" s="131">
        <f>SUM(E9:E132)</f>
        <v>437500</v>
      </c>
      <c r="F8" s="131">
        <f>SUM(F9:F132)</f>
        <v>845853</v>
      </c>
      <c r="G8" s="131">
        <f>SUM(G9:G132)</f>
        <v>0</v>
      </c>
      <c r="I8" s="226">
        <f>F8-[1]Sheet1!$R$6</f>
        <v>0</v>
      </c>
      <c r="J8" s="131">
        <v>4415841</v>
      </c>
      <c r="K8" s="227">
        <v>845853</v>
      </c>
    </row>
    <row r="9" spans="1:11" s="50" customFormat="1" ht="47.25">
      <c r="A9" s="83">
        <v>1</v>
      </c>
      <c r="B9" s="49" t="s">
        <v>937</v>
      </c>
      <c r="C9" s="84" t="s">
        <v>1437</v>
      </c>
      <c r="D9" s="132">
        <f>E9+F9+G9</f>
        <v>40100</v>
      </c>
      <c r="E9" s="132">
        <v>12945</v>
      </c>
      <c r="F9" s="224">
        <v>27155</v>
      </c>
      <c r="G9" s="132"/>
      <c r="J9" s="228">
        <f>F8-K8</f>
        <v>0</v>
      </c>
    </row>
    <row r="10" spans="1:11" s="50" customFormat="1" ht="21.75" customHeight="1">
      <c r="A10" s="83">
        <v>2</v>
      </c>
      <c r="B10" s="49" t="s">
        <v>706</v>
      </c>
      <c r="C10" s="84" t="s">
        <v>1438</v>
      </c>
      <c r="D10" s="132">
        <f t="shared" ref="D10:D73" si="0">E10+F10+G10</f>
        <v>15933</v>
      </c>
      <c r="E10" s="132">
        <v>3908</v>
      </c>
      <c r="F10" s="224">
        <v>12025</v>
      </c>
      <c r="G10" s="132"/>
    </row>
    <row r="11" spans="1:11" s="50" customFormat="1" ht="23.25" customHeight="1">
      <c r="A11" s="83">
        <v>3</v>
      </c>
      <c r="B11" s="49" t="s">
        <v>933</v>
      </c>
      <c r="C11" s="84" t="s">
        <v>1439</v>
      </c>
      <c r="D11" s="132">
        <f t="shared" si="0"/>
        <v>27213</v>
      </c>
      <c r="E11" s="132">
        <v>6596</v>
      </c>
      <c r="F11" s="224">
        <v>20617</v>
      </c>
      <c r="G11" s="132"/>
      <c r="J11" s="229">
        <f>13937873+J9</f>
        <v>13937873</v>
      </c>
    </row>
    <row r="12" spans="1:11" s="50" customFormat="1" ht="31.5">
      <c r="A12" s="83">
        <v>4</v>
      </c>
      <c r="B12" s="49" t="s">
        <v>1440</v>
      </c>
      <c r="C12" s="84" t="s">
        <v>1441</v>
      </c>
      <c r="D12" s="132">
        <f t="shared" si="0"/>
        <v>15741</v>
      </c>
      <c r="E12" s="132">
        <v>3084</v>
      </c>
      <c r="F12" s="224">
        <v>12657</v>
      </c>
      <c r="G12" s="132"/>
      <c r="J12" s="229">
        <f>4565328+J9</f>
        <v>4565328</v>
      </c>
    </row>
    <row r="13" spans="1:11" s="50" customFormat="1" ht="22.5" customHeight="1">
      <c r="A13" s="83">
        <v>5</v>
      </c>
      <c r="B13" s="49" t="s">
        <v>651</v>
      </c>
      <c r="C13" s="84" t="s">
        <v>1442</v>
      </c>
      <c r="D13" s="132">
        <f t="shared" si="0"/>
        <v>23312</v>
      </c>
      <c r="E13" s="132">
        <v>4454</v>
      </c>
      <c r="F13" s="224">
        <v>18858</v>
      </c>
      <c r="G13" s="132"/>
      <c r="J13" s="229">
        <f>846182-J9</f>
        <v>846182</v>
      </c>
    </row>
    <row r="14" spans="1:11" s="50" customFormat="1" ht="21.75" customHeight="1">
      <c r="A14" s="83">
        <v>6</v>
      </c>
      <c r="B14" s="49" t="s">
        <v>737</v>
      </c>
      <c r="C14" s="84" t="s">
        <v>1443</v>
      </c>
      <c r="D14" s="132">
        <f t="shared" si="0"/>
        <v>13235</v>
      </c>
      <c r="E14" s="132">
        <v>4711</v>
      </c>
      <c r="F14" s="224">
        <v>8524</v>
      </c>
      <c r="G14" s="132"/>
    </row>
    <row r="15" spans="1:11" s="50" customFormat="1" ht="31.5">
      <c r="A15" s="83">
        <v>7</v>
      </c>
      <c r="B15" s="49" t="s">
        <v>976</v>
      </c>
      <c r="C15" s="84" t="s">
        <v>1444</v>
      </c>
      <c r="D15" s="132">
        <f t="shared" si="0"/>
        <v>17311</v>
      </c>
      <c r="E15" s="132">
        <v>4861</v>
      </c>
      <c r="F15" s="224">
        <v>12450</v>
      </c>
      <c r="G15" s="132"/>
      <c r="J15" s="229">
        <f>9865187+J9</f>
        <v>9865187</v>
      </c>
    </row>
    <row r="16" spans="1:11" s="50" customFormat="1" ht="31.5">
      <c r="A16" s="83">
        <v>8</v>
      </c>
      <c r="B16" s="49" t="s">
        <v>1035</v>
      </c>
      <c r="C16" s="84" t="s">
        <v>1445</v>
      </c>
      <c r="D16" s="132">
        <f t="shared" si="0"/>
        <v>16033</v>
      </c>
      <c r="E16" s="132">
        <v>3923</v>
      </c>
      <c r="F16" s="133">
        <v>12110</v>
      </c>
      <c r="G16" s="132"/>
      <c r="J16" s="229">
        <f>8400569+J9</f>
        <v>8400569</v>
      </c>
    </row>
    <row r="17" spans="1:7" s="50" customFormat="1" ht="31.5">
      <c r="A17" s="83">
        <v>9</v>
      </c>
      <c r="B17" s="49" t="s">
        <v>987</v>
      </c>
      <c r="C17" s="84" t="s">
        <v>1446</v>
      </c>
      <c r="D17" s="132">
        <f t="shared" si="0"/>
        <v>12451</v>
      </c>
      <c r="E17" s="132">
        <v>3488</v>
      </c>
      <c r="F17" s="224">
        <v>8963</v>
      </c>
      <c r="G17" s="132"/>
    </row>
    <row r="18" spans="1:7" s="50" customFormat="1" ht="31.5">
      <c r="A18" s="83">
        <v>10</v>
      </c>
      <c r="B18" s="49" t="s">
        <v>1447</v>
      </c>
      <c r="C18" s="84" t="s">
        <v>1448</v>
      </c>
      <c r="D18" s="132">
        <f t="shared" si="0"/>
        <v>17833</v>
      </c>
      <c r="E18" s="132">
        <v>6913</v>
      </c>
      <c r="F18" s="133">
        <v>10920</v>
      </c>
      <c r="G18" s="132"/>
    </row>
    <row r="19" spans="1:7" s="50" customFormat="1" ht="31.5">
      <c r="A19" s="83">
        <v>11</v>
      </c>
      <c r="B19" s="49" t="s">
        <v>678</v>
      </c>
      <c r="C19" s="84" t="s">
        <v>1449</v>
      </c>
      <c r="D19" s="132">
        <f t="shared" si="0"/>
        <v>11046</v>
      </c>
      <c r="E19" s="132">
        <v>4466</v>
      </c>
      <c r="F19" s="224">
        <v>6580</v>
      </c>
      <c r="G19" s="132"/>
    </row>
    <row r="20" spans="1:7" s="50" customFormat="1" ht="15.75">
      <c r="A20" s="83">
        <v>12</v>
      </c>
      <c r="B20" s="49" t="s">
        <v>1129</v>
      </c>
      <c r="C20" s="84" t="s">
        <v>1450</v>
      </c>
      <c r="D20" s="132">
        <f t="shared" si="0"/>
        <v>13254</v>
      </c>
      <c r="E20" s="132">
        <v>3144</v>
      </c>
      <c r="F20" s="224">
        <v>10110</v>
      </c>
      <c r="G20" s="132"/>
    </row>
    <row r="21" spans="1:7" s="50" customFormat="1" ht="15.75">
      <c r="A21" s="83">
        <v>13</v>
      </c>
      <c r="B21" s="49" t="s">
        <v>1451</v>
      </c>
      <c r="C21" s="84" t="s">
        <v>1452</v>
      </c>
      <c r="D21" s="132">
        <f t="shared" si="0"/>
        <v>13005</v>
      </c>
      <c r="E21" s="132">
        <v>2716</v>
      </c>
      <c r="F21" s="133">
        <v>10289</v>
      </c>
      <c r="G21" s="132"/>
    </row>
    <row r="22" spans="1:7" s="50" customFormat="1" ht="15.75">
      <c r="A22" s="83">
        <v>14</v>
      </c>
      <c r="B22" s="49" t="s">
        <v>522</v>
      </c>
      <c r="C22" s="84" t="s">
        <v>1453</v>
      </c>
      <c r="D22" s="132">
        <f t="shared" si="0"/>
        <v>5489</v>
      </c>
      <c r="E22" s="132">
        <v>2939</v>
      </c>
      <c r="F22" s="224">
        <v>2550</v>
      </c>
      <c r="G22" s="132"/>
    </row>
    <row r="23" spans="1:7" s="50" customFormat="1" ht="15.75">
      <c r="A23" s="83">
        <v>15</v>
      </c>
      <c r="B23" s="49" t="s">
        <v>1454</v>
      </c>
      <c r="C23" s="84" t="s">
        <v>1455</v>
      </c>
      <c r="D23" s="132">
        <f t="shared" si="0"/>
        <v>4173</v>
      </c>
      <c r="E23" s="132">
        <v>3748</v>
      </c>
      <c r="F23" s="133">
        <v>425</v>
      </c>
      <c r="G23" s="132"/>
    </row>
    <row r="24" spans="1:7" s="50" customFormat="1" ht="31.5">
      <c r="A24" s="83">
        <v>16</v>
      </c>
      <c r="B24" s="49" t="s">
        <v>1456</v>
      </c>
      <c r="C24" s="84" t="s">
        <v>1457</v>
      </c>
      <c r="D24" s="132">
        <f t="shared" si="0"/>
        <v>18029</v>
      </c>
      <c r="E24" s="132">
        <v>5273</v>
      </c>
      <c r="F24" s="133">
        <v>12756</v>
      </c>
      <c r="G24" s="132"/>
    </row>
    <row r="25" spans="1:7" s="50" customFormat="1" ht="31.5">
      <c r="A25" s="83">
        <v>17</v>
      </c>
      <c r="B25" s="49" t="s">
        <v>1458</v>
      </c>
      <c r="C25" s="84" t="s">
        <v>1459</v>
      </c>
      <c r="D25" s="132">
        <f t="shared" si="0"/>
        <v>9737</v>
      </c>
      <c r="E25" s="132">
        <v>2689</v>
      </c>
      <c r="F25" s="224">
        <v>7048</v>
      </c>
      <c r="G25" s="132"/>
    </row>
    <row r="26" spans="1:7" s="50" customFormat="1" ht="15.75">
      <c r="A26" s="83">
        <v>18</v>
      </c>
      <c r="B26" s="49" t="s">
        <v>1460</v>
      </c>
      <c r="C26" s="84" t="s">
        <v>1461</v>
      </c>
      <c r="D26" s="132">
        <f t="shared" si="0"/>
        <v>9651</v>
      </c>
      <c r="E26" s="132">
        <v>2476</v>
      </c>
      <c r="F26" s="224">
        <v>7175</v>
      </c>
      <c r="G26" s="132"/>
    </row>
    <row r="27" spans="1:7" s="50" customFormat="1" ht="31.5">
      <c r="A27" s="83">
        <v>19</v>
      </c>
      <c r="B27" s="49" t="s">
        <v>677</v>
      </c>
      <c r="C27" s="84" t="s">
        <v>1462</v>
      </c>
      <c r="D27" s="132">
        <f t="shared" si="0"/>
        <v>8149</v>
      </c>
      <c r="E27" s="132">
        <v>2674</v>
      </c>
      <c r="F27" s="224">
        <v>5475</v>
      </c>
      <c r="G27" s="132"/>
    </row>
    <row r="28" spans="1:7" s="50" customFormat="1" ht="15.75">
      <c r="A28" s="83">
        <v>20</v>
      </c>
      <c r="B28" s="49" t="s">
        <v>1463</v>
      </c>
      <c r="C28" s="84" t="s">
        <v>1464</v>
      </c>
      <c r="D28" s="132">
        <f t="shared" si="0"/>
        <v>9807</v>
      </c>
      <c r="E28" s="132">
        <v>3057</v>
      </c>
      <c r="F28" s="133">
        <v>6750</v>
      </c>
      <c r="G28" s="132"/>
    </row>
    <row r="29" spans="1:7" s="50" customFormat="1" ht="15.75">
      <c r="A29" s="83">
        <v>21</v>
      </c>
      <c r="B29" s="49" t="s">
        <v>1465</v>
      </c>
      <c r="C29" s="84" t="s">
        <v>1466</v>
      </c>
      <c r="D29" s="132">
        <f t="shared" si="0"/>
        <v>2867</v>
      </c>
      <c r="E29" s="132">
        <v>2697</v>
      </c>
      <c r="F29" s="133">
        <v>170</v>
      </c>
      <c r="G29" s="132"/>
    </row>
    <row r="30" spans="1:7" s="50" customFormat="1" ht="15.75">
      <c r="A30" s="83">
        <v>22</v>
      </c>
      <c r="B30" s="49" t="s">
        <v>528</v>
      </c>
      <c r="C30" s="84" t="s">
        <v>1467</v>
      </c>
      <c r="D30" s="132">
        <f t="shared" si="0"/>
        <v>6820</v>
      </c>
      <c r="E30" s="132">
        <v>2995</v>
      </c>
      <c r="F30" s="133">
        <v>3825</v>
      </c>
      <c r="G30" s="132"/>
    </row>
    <row r="31" spans="1:7" s="50" customFormat="1" ht="15.75">
      <c r="A31" s="83">
        <v>23</v>
      </c>
      <c r="B31" s="49" t="s">
        <v>120</v>
      </c>
      <c r="C31" s="84" t="s">
        <v>1468</v>
      </c>
      <c r="D31" s="132">
        <f t="shared" si="0"/>
        <v>20578</v>
      </c>
      <c r="E31" s="132">
        <v>3853</v>
      </c>
      <c r="F31" s="133">
        <v>16725</v>
      </c>
      <c r="G31" s="132"/>
    </row>
    <row r="32" spans="1:7" s="50" customFormat="1" ht="15.75">
      <c r="A32" s="83">
        <v>24</v>
      </c>
      <c r="B32" s="49" t="s">
        <v>667</v>
      </c>
      <c r="C32" s="84" t="s">
        <v>1469</v>
      </c>
      <c r="D32" s="132">
        <f t="shared" si="0"/>
        <v>34469</v>
      </c>
      <c r="E32" s="132">
        <v>5971</v>
      </c>
      <c r="F32" s="133">
        <v>28498</v>
      </c>
      <c r="G32" s="132"/>
    </row>
    <row r="33" spans="1:7" s="50" customFormat="1" ht="15.75">
      <c r="A33" s="83">
        <v>25</v>
      </c>
      <c r="B33" s="49" t="s">
        <v>510</v>
      </c>
      <c r="C33" s="84" t="s">
        <v>1470</v>
      </c>
      <c r="D33" s="132">
        <f t="shared" si="0"/>
        <v>12519</v>
      </c>
      <c r="E33" s="132">
        <v>2919</v>
      </c>
      <c r="F33" s="133">
        <v>9600</v>
      </c>
      <c r="G33" s="132"/>
    </row>
    <row r="34" spans="1:7" s="50" customFormat="1" ht="31.5">
      <c r="A34" s="83">
        <v>26</v>
      </c>
      <c r="B34" s="49" t="s">
        <v>1471</v>
      </c>
      <c r="C34" s="84" t="s">
        <v>1472</v>
      </c>
      <c r="D34" s="132">
        <f t="shared" si="0"/>
        <v>15187</v>
      </c>
      <c r="E34" s="132">
        <v>2627</v>
      </c>
      <c r="F34" s="133">
        <v>12560</v>
      </c>
      <c r="G34" s="132"/>
    </row>
    <row r="35" spans="1:7" s="50" customFormat="1" ht="15.75">
      <c r="A35" s="83">
        <v>27</v>
      </c>
      <c r="B35" s="49" t="s">
        <v>1473</v>
      </c>
      <c r="C35" s="84" t="s">
        <v>1474</v>
      </c>
      <c r="D35" s="132">
        <f t="shared" si="0"/>
        <v>10920</v>
      </c>
      <c r="E35" s="132">
        <v>2595</v>
      </c>
      <c r="F35" s="133">
        <v>8325</v>
      </c>
      <c r="G35" s="132"/>
    </row>
    <row r="36" spans="1:7" s="50" customFormat="1" ht="15.75">
      <c r="A36" s="83">
        <v>28</v>
      </c>
      <c r="B36" s="49" t="s">
        <v>656</v>
      </c>
      <c r="C36" s="84" t="s">
        <v>1475</v>
      </c>
      <c r="D36" s="132">
        <f t="shared" si="0"/>
        <v>3593</v>
      </c>
      <c r="E36" s="132">
        <v>2700</v>
      </c>
      <c r="F36" s="133">
        <v>893</v>
      </c>
      <c r="G36" s="132"/>
    </row>
    <row r="37" spans="1:7" s="50" customFormat="1" ht="15.75">
      <c r="A37" s="83">
        <v>29</v>
      </c>
      <c r="B37" s="49" t="s">
        <v>887</v>
      </c>
      <c r="C37" s="84" t="s">
        <v>1476</v>
      </c>
      <c r="D37" s="132">
        <f t="shared" si="0"/>
        <v>19603</v>
      </c>
      <c r="E37" s="132">
        <v>4497</v>
      </c>
      <c r="F37" s="133">
        <v>15106</v>
      </c>
      <c r="G37" s="132"/>
    </row>
    <row r="38" spans="1:7" s="50" customFormat="1" ht="15.75">
      <c r="A38" s="83">
        <v>30</v>
      </c>
      <c r="B38" s="49" t="s">
        <v>1477</v>
      </c>
      <c r="C38" s="84" t="s">
        <v>1478</v>
      </c>
      <c r="D38" s="132">
        <f t="shared" si="0"/>
        <v>9438</v>
      </c>
      <c r="E38" s="132">
        <v>2688</v>
      </c>
      <c r="F38" s="133">
        <v>6750</v>
      </c>
      <c r="G38" s="132"/>
    </row>
    <row r="39" spans="1:7" s="50" customFormat="1" ht="15.75">
      <c r="A39" s="83">
        <v>31</v>
      </c>
      <c r="B39" s="49" t="s">
        <v>1107</v>
      </c>
      <c r="C39" s="84" t="s">
        <v>1479</v>
      </c>
      <c r="D39" s="132">
        <f t="shared" si="0"/>
        <v>11200</v>
      </c>
      <c r="E39" s="132">
        <v>2875</v>
      </c>
      <c r="F39" s="133">
        <v>8325</v>
      </c>
      <c r="G39" s="132"/>
    </row>
    <row r="40" spans="1:7" s="50" customFormat="1" ht="15.75">
      <c r="A40" s="83">
        <v>32</v>
      </c>
      <c r="B40" s="49" t="s">
        <v>695</v>
      </c>
      <c r="C40" s="84" t="s">
        <v>1480</v>
      </c>
      <c r="D40" s="132">
        <f t="shared" si="0"/>
        <v>9763</v>
      </c>
      <c r="E40" s="132">
        <v>3013</v>
      </c>
      <c r="F40" s="133">
        <v>6750</v>
      </c>
      <c r="G40" s="132"/>
    </row>
    <row r="41" spans="1:7" s="50" customFormat="1" ht="31.5">
      <c r="A41" s="83">
        <v>33</v>
      </c>
      <c r="B41" s="49" t="s">
        <v>1275</v>
      </c>
      <c r="C41" s="84" t="s">
        <v>1481</v>
      </c>
      <c r="D41" s="132">
        <f t="shared" si="0"/>
        <v>16980</v>
      </c>
      <c r="E41" s="132">
        <v>3498</v>
      </c>
      <c r="F41" s="224">
        <v>13482</v>
      </c>
      <c r="G41" s="132"/>
    </row>
    <row r="42" spans="1:7" s="50" customFormat="1" ht="15.75">
      <c r="A42" s="83">
        <v>34</v>
      </c>
      <c r="B42" s="49" t="s">
        <v>1482</v>
      </c>
      <c r="C42" s="84" t="s">
        <v>1483</v>
      </c>
      <c r="D42" s="132">
        <f t="shared" si="0"/>
        <v>10713</v>
      </c>
      <c r="E42" s="132">
        <v>3562</v>
      </c>
      <c r="F42" s="133">
        <v>7151</v>
      </c>
      <c r="G42" s="132"/>
    </row>
    <row r="43" spans="1:7" s="50" customFormat="1" ht="15.75">
      <c r="A43" s="83">
        <v>35</v>
      </c>
      <c r="B43" s="49" t="s">
        <v>1274</v>
      </c>
      <c r="C43" s="84" t="s">
        <v>1484</v>
      </c>
      <c r="D43" s="132">
        <f t="shared" si="0"/>
        <v>8514</v>
      </c>
      <c r="E43" s="132">
        <v>2727</v>
      </c>
      <c r="F43" s="133">
        <v>5787</v>
      </c>
      <c r="G43" s="132"/>
    </row>
    <row r="44" spans="1:7" s="50" customFormat="1" ht="31.5">
      <c r="A44" s="83">
        <v>36</v>
      </c>
      <c r="B44" s="49" t="s">
        <v>115</v>
      </c>
      <c r="C44" s="84" t="s">
        <v>1485</v>
      </c>
      <c r="D44" s="132">
        <f t="shared" si="0"/>
        <v>17991</v>
      </c>
      <c r="E44" s="132">
        <v>4117</v>
      </c>
      <c r="F44" s="133">
        <v>13874</v>
      </c>
      <c r="G44" s="132"/>
    </row>
    <row r="45" spans="1:7" s="50" customFormat="1" ht="31.5">
      <c r="A45" s="83">
        <v>37</v>
      </c>
      <c r="B45" s="49" t="s">
        <v>1486</v>
      </c>
      <c r="C45" s="84" t="s">
        <v>1487</v>
      </c>
      <c r="D45" s="132">
        <f t="shared" si="0"/>
        <v>17966</v>
      </c>
      <c r="E45" s="132">
        <v>4594</v>
      </c>
      <c r="F45" s="224">
        <v>13372</v>
      </c>
      <c r="G45" s="132"/>
    </row>
    <row r="46" spans="1:7" s="50" customFormat="1" ht="15.75">
      <c r="A46" s="83">
        <v>38</v>
      </c>
      <c r="B46" s="49" t="s">
        <v>1276</v>
      </c>
      <c r="C46" s="84" t="s">
        <v>1488</v>
      </c>
      <c r="D46" s="132">
        <f t="shared" si="0"/>
        <v>12228</v>
      </c>
      <c r="E46" s="132">
        <v>2765</v>
      </c>
      <c r="F46" s="133">
        <v>9463</v>
      </c>
      <c r="G46" s="132"/>
    </row>
    <row r="47" spans="1:7" s="50" customFormat="1" ht="15.75">
      <c r="A47" s="83">
        <v>39</v>
      </c>
      <c r="B47" s="49" t="s">
        <v>1226</v>
      </c>
      <c r="C47" s="84" t="s">
        <v>1489</v>
      </c>
      <c r="D47" s="132">
        <f t="shared" si="0"/>
        <v>8182</v>
      </c>
      <c r="E47" s="132">
        <v>2983</v>
      </c>
      <c r="F47" s="224">
        <v>5199</v>
      </c>
      <c r="G47" s="132"/>
    </row>
    <row r="48" spans="1:7" s="50" customFormat="1" ht="15.75">
      <c r="A48" s="83">
        <v>40</v>
      </c>
      <c r="B48" s="49" t="s">
        <v>1227</v>
      </c>
      <c r="C48" s="84" t="s">
        <v>1490</v>
      </c>
      <c r="D48" s="132">
        <f t="shared" si="0"/>
        <v>9647</v>
      </c>
      <c r="E48" s="132">
        <v>3747</v>
      </c>
      <c r="F48" s="133">
        <v>5900</v>
      </c>
      <c r="G48" s="132"/>
    </row>
    <row r="49" spans="1:7" s="50" customFormat="1" ht="15.75">
      <c r="A49" s="83">
        <v>41</v>
      </c>
      <c r="B49" s="49" t="s">
        <v>1491</v>
      </c>
      <c r="C49" s="84" t="s">
        <v>1492</v>
      </c>
      <c r="D49" s="132">
        <f t="shared" si="0"/>
        <v>8560</v>
      </c>
      <c r="E49" s="132">
        <v>3234</v>
      </c>
      <c r="F49" s="224">
        <v>5326</v>
      </c>
      <c r="G49" s="132"/>
    </row>
    <row r="50" spans="1:7" s="50" customFormat="1" ht="15.75">
      <c r="A50" s="83">
        <v>42</v>
      </c>
      <c r="B50" s="49" t="s">
        <v>744</v>
      </c>
      <c r="C50" s="84" t="s">
        <v>1493</v>
      </c>
      <c r="D50" s="132">
        <f t="shared" si="0"/>
        <v>6564</v>
      </c>
      <c r="E50" s="132">
        <v>4014</v>
      </c>
      <c r="F50" s="133">
        <v>2550</v>
      </c>
      <c r="G50" s="132"/>
    </row>
    <row r="51" spans="1:7" s="50" customFormat="1" ht="15.75">
      <c r="A51" s="83">
        <v>43</v>
      </c>
      <c r="B51" s="49" t="s">
        <v>908</v>
      </c>
      <c r="C51" s="84" t="s">
        <v>1494</v>
      </c>
      <c r="D51" s="132">
        <f t="shared" si="0"/>
        <v>10590</v>
      </c>
      <c r="E51" s="132">
        <v>2520</v>
      </c>
      <c r="F51" s="133">
        <v>8070</v>
      </c>
      <c r="G51" s="132"/>
    </row>
    <row r="52" spans="1:7" s="50" customFormat="1" ht="15.75">
      <c r="A52" s="83">
        <v>44</v>
      </c>
      <c r="B52" s="49" t="s">
        <v>931</v>
      </c>
      <c r="C52" s="84" t="s">
        <v>1495</v>
      </c>
      <c r="D52" s="132">
        <f t="shared" si="0"/>
        <v>10731</v>
      </c>
      <c r="E52" s="132">
        <v>2814</v>
      </c>
      <c r="F52" s="133">
        <v>7917</v>
      </c>
      <c r="G52" s="132"/>
    </row>
    <row r="53" spans="1:7" s="50" customFormat="1" ht="15.75">
      <c r="A53" s="83">
        <v>45</v>
      </c>
      <c r="B53" s="49" t="s">
        <v>1496</v>
      </c>
      <c r="C53" s="84" t="s">
        <v>1497</v>
      </c>
      <c r="D53" s="132">
        <f t="shared" si="0"/>
        <v>4270</v>
      </c>
      <c r="E53" s="132">
        <v>2400</v>
      </c>
      <c r="F53" s="133">
        <v>1870</v>
      </c>
      <c r="G53" s="132"/>
    </row>
    <row r="54" spans="1:7" s="50" customFormat="1" ht="15.75">
      <c r="A54" s="83">
        <v>46</v>
      </c>
      <c r="B54" s="49" t="s">
        <v>686</v>
      </c>
      <c r="C54" s="84" t="s">
        <v>1498</v>
      </c>
      <c r="D54" s="132">
        <f t="shared" si="0"/>
        <v>10175</v>
      </c>
      <c r="E54" s="132">
        <v>2787</v>
      </c>
      <c r="F54" s="133">
        <v>7388</v>
      </c>
      <c r="G54" s="132"/>
    </row>
    <row r="55" spans="1:7" s="50" customFormat="1" ht="15.75">
      <c r="A55" s="83">
        <v>47</v>
      </c>
      <c r="B55" s="49" t="s">
        <v>559</v>
      </c>
      <c r="C55" s="84" t="s">
        <v>1499</v>
      </c>
      <c r="D55" s="132">
        <f t="shared" si="0"/>
        <v>7242</v>
      </c>
      <c r="E55" s="132">
        <v>2482</v>
      </c>
      <c r="F55" s="133">
        <v>4760</v>
      </c>
      <c r="G55" s="132"/>
    </row>
    <row r="56" spans="1:7" s="50" customFormat="1" ht="15.75">
      <c r="A56" s="83">
        <v>48</v>
      </c>
      <c r="B56" s="49" t="s">
        <v>1500</v>
      </c>
      <c r="C56" s="84" t="s">
        <v>1501</v>
      </c>
      <c r="D56" s="132">
        <f t="shared" si="0"/>
        <v>5572</v>
      </c>
      <c r="E56" s="132">
        <v>2597</v>
      </c>
      <c r="F56" s="133">
        <v>2975</v>
      </c>
      <c r="G56" s="132"/>
    </row>
    <row r="57" spans="1:7" s="50" customFormat="1" ht="31.5">
      <c r="A57" s="83">
        <v>49</v>
      </c>
      <c r="B57" s="49" t="s">
        <v>698</v>
      </c>
      <c r="C57" s="84" t="s">
        <v>1502</v>
      </c>
      <c r="D57" s="132">
        <f t="shared" si="0"/>
        <v>6145</v>
      </c>
      <c r="E57" s="132">
        <v>3042</v>
      </c>
      <c r="F57" s="133">
        <v>3103</v>
      </c>
      <c r="G57" s="132"/>
    </row>
    <row r="58" spans="1:7" s="50" customFormat="1" ht="31.5">
      <c r="A58" s="83">
        <v>50</v>
      </c>
      <c r="B58" s="49" t="s">
        <v>702</v>
      </c>
      <c r="C58" s="84" t="s">
        <v>1503</v>
      </c>
      <c r="D58" s="132">
        <f t="shared" si="0"/>
        <v>4386</v>
      </c>
      <c r="E58" s="132">
        <v>2558</v>
      </c>
      <c r="F58" s="133">
        <v>1828</v>
      </c>
      <c r="G58" s="132"/>
    </row>
    <row r="59" spans="1:7" s="50" customFormat="1" ht="31.5">
      <c r="A59" s="83">
        <v>51</v>
      </c>
      <c r="B59" s="49" t="s">
        <v>917</v>
      </c>
      <c r="C59" s="84" t="s">
        <v>1504</v>
      </c>
      <c r="D59" s="132">
        <f t="shared" si="0"/>
        <v>2805</v>
      </c>
      <c r="E59" s="132">
        <v>2380</v>
      </c>
      <c r="F59" s="133">
        <v>425</v>
      </c>
      <c r="G59" s="132"/>
    </row>
    <row r="60" spans="1:7" s="50" customFormat="1" ht="15.75">
      <c r="A60" s="83">
        <v>72</v>
      </c>
      <c r="B60" s="48" t="s">
        <v>1101</v>
      </c>
      <c r="C60" s="84" t="s">
        <v>1505</v>
      </c>
      <c r="D60" s="132">
        <f t="shared" si="0"/>
        <v>8579</v>
      </c>
      <c r="E60" s="132">
        <v>4329</v>
      </c>
      <c r="F60" s="133">
        <v>4250</v>
      </c>
      <c r="G60" s="132"/>
    </row>
    <row r="61" spans="1:7" s="50" customFormat="1" ht="15.75">
      <c r="A61" s="83">
        <v>73</v>
      </c>
      <c r="B61" s="48" t="s">
        <v>1104</v>
      </c>
      <c r="C61" s="84" t="s">
        <v>1506</v>
      </c>
      <c r="D61" s="132">
        <f t="shared" si="0"/>
        <v>9395</v>
      </c>
      <c r="E61" s="132">
        <v>3070</v>
      </c>
      <c r="F61" s="133">
        <v>6325</v>
      </c>
      <c r="G61" s="132"/>
    </row>
    <row r="62" spans="1:7" s="50" customFormat="1" ht="31.5">
      <c r="A62" s="83">
        <v>74</v>
      </c>
      <c r="B62" s="48" t="s">
        <v>151</v>
      </c>
      <c r="C62" s="84" t="s">
        <v>1507</v>
      </c>
      <c r="D62" s="132">
        <f t="shared" si="0"/>
        <v>14678</v>
      </c>
      <c r="E62" s="132">
        <v>4823</v>
      </c>
      <c r="F62" s="133">
        <v>9855</v>
      </c>
      <c r="G62" s="132"/>
    </row>
    <row r="63" spans="1:7" s="50" customFormat="1" ht="15.75">
      <c r="A63" s="83">
        <v>75</v>
      </c>
      <c r="B63" s="48" t="s">
        <v>1508</v>
      </c>
      <c r="C63" s="84" t="s">
        <v>1509</v>
      </c>
      <c r="D63" s="132">
        <f t="shared" si="0"/>
        <v>7972</v>
      </c>
      <c r="E63" s="132">
        <v>2922</v>
      </c>
      <c r="F63" s="133">
        <v>5050</v>
      </c>
      <c r="G63" s="132"/>
    </row>
    <row r="64" spans="1:7" s="50" customFormat="1" ht="31.5">
      <c r="A64" s="83">
        <v>76</v>
      </c>
      <c r="B64" s="48" t="s">
        <v>1510</v>
      </c>
      <c r="C64" s="84" t="s">
        <v>1511</v>
      </c>
      <c r="D64" s="132">
        <f t="shared" si="0"/>
        <v>14266</v>
      </c>
      <c r="E64" s="132">
        <v>3516</v>
      </c>
      <c r="F64" s="133">
        <v>10750</v>
      </c>
      <c r="G64" s="132"/>
    </row>
    <row r="65" spans="1:7" s="50" customFormat="1" ht="15.75">
      <c r="A65" s="83">
        <v>77</v>
      </c>
      <c r="B65" s="48" t="s">
        <v>1512</v>
      </c>
      <c r="C65" s="84" t="s">
        <v>1513</v>
      </c>
      <c r="D65" s="132">
        <f t="shared" si="0"/>
        <v>4874</v>
      </c>
      <c r="E65" s="132">
        <v>3174</v>
      </c>
      <c r="F65" s="133">
        <v>1700</v>
      </c>
      <c r="G65" s="132"/>
    </row>
    <row r="66" spans="1:7" s="50" customFormat="1" ht="31.5">
      <c r="A66" s="83">
        <v>78</v>
      </c>
      <c r="B66" s="48" t="s">
        <v>1514</v>
      </c>
      <c r="C66" s="84" t="s">
        <v>1515</v>
      </c>
      <c r="D66" s="132">
        <f t="shared" si="0"/>
        <v>4897</v>
      </c>
      <c r="E66" s="132">
        <v>3197</v>
      </c>
      <c r="F66" s="133">
        <v>1700</v>
      </c>
      <c r="G66" s="132"/>
    </row>
    <row r="67" spans="1:7" s="50" customFormat="1" ht="15.75">
      <c r="A67" s="83">
        <v>79</v>
      </c>
      <c r="B67" s="48" t="s">
        <v>1094</v>
      </c>
      <c r="C67" s="84" t="s">
        <v>1516</v>
      </c>
      <c r="D67" s="132">
        <f t="shared" si="0"/>
        <v>8762</v>
      </c>
      <c r="E67" s="132">
        <v>3499</v>
      </c>
      <c r="F67" s="133">
        <v>5263</v>
      </c>
      <c r="G67" s="132"/>
    </row>
    <row r="68" spans="1:7" s="50" customFormat="1" ht="15.75">
      <c r="A68" s="83">
        <v>80</v>
      </c>
      <c r="B68" s="48" t="s">
        <v>877</v>
      </c>
      <c r="C68" s="84" t="s">
        <v>1517</v>
      </c>
      <c r="D68" s="132">
        <f t="shared" si="0"/>
        <v>15653</v>
      </c>
      <c r="E68" s="132">
        <v>4053</v>
      </c>
      <c r="F68" s="133">
        <v>11600</v>
      </c>
      <c r="G68" s="132"/>
    </row>
    <row r="69" spans="1:7" s="50" customFormat="1" ht="31.5">
      <c r="A69" s="83">
        <v>81</v>
      </c>
      <c r="B69" s="48" t="s">
        <v>152</v>
      </c>
      <c r="C69" s="84" t="s">
        <v>1518</v>
      </c>
      <c r="D69" s="132">
        <f t="shared" si="0"/>
        <v>7987</v>
      </c>
      <c r="E69" s="132">
        <v>3312</v>
      </c>
      <c r="F69" s="133">
        <v>4675</v>
      </c>
      <c r="G69" s="132"/>
    </row>
    <row r="70" spans="1:7" s="50" customFormat="1" ht="15.75">
      <c r="A70" s="83">
        <v>82</v>
      </c>
      <c r="B70" s="48" t="s">
        <v>1519</v>
      </c>
      <c r="C70" s="84" t="s">
        <v>1520</v>
      </c>
      <c r="D70" s="132">
        <f t="shared" si="0"/>
        <v>8305</v>
      </c>
      <c r="E70" s="132">
        <v>3042</v>
      </c>
      <c r="F70" s="133">
        <v>5263</v>
      </c>
      <c r="G70" s="132"/>
    </row>
    <row r="71" spans="1:7" s="50" customFormat="1" ht="15.75">
      <c r="A71" s="83">
        <v>83</v>
      </c>
      <c r="B71" s="48" t="s">
        <v>809</v>
      </c>
      <c r="C71" s="84" t="s">
        <v>1521</v>
      </c>
      <c r="D71" s="132">
        <f t="shared" si="0"/>
        <v>8510</v>
      </c>
      <c r="E71" s="132">
        <v>2716</v>
      </c>
      <c r="F71" s="133">
        <v>5794</v>
      </c>
      <c r="G71" s="132"/>
    </row>
    <row r="72" spans="1:7" s="50" customFormat="1" ht="31.5">
      <c r="A72" s="83">
        <v>84</v>
      </c>
      <c r="B72" s="48" t="s">
        <v>86</v>
      </c>
      <c r="C72" s="84" t="s">
        <v>1522</v>
      </c>
      <c r="D72" s="132">
        <f t="shared" si="0"/>
        <v>14056</v>
      </c>
      <c r="E72" s="132">
        <v>3136</v>
      </c>
      <c r="F72" s="133">
        <v>10920</v>
      </c>
      <c r="G72" s="132"/>
    </row>
    <row r="73" spans="1:7" s="50" customFormat="1" ht="15.75">
      <c r="A73" s="83">
        <v>85</v>
      </c>
      <c r="B73" s="48" t="s">
        <v>1086</v>
      </c>
      <c r="C73" s="84" t="s">
        <v>1523</v>
      </c>
      <c r="D73" s="132">
        <f t="shared" si="0"/>
        <v>8806</v>
      </c>
      <c r="E73" s="132">
        <v>3012</v>
      </c>
      <c r="F73" s="133">
        <v>5794</v>
      </c>
      <c r="G73" s="132"/>
    </row>
    <row r="74" spans="1:7" s="50" customFormat="1" ht="15.75">
      <c r="A74" s="83">
        <v>86</v>
      </c>
      <c r="B74" s="48" t="s">
        <v>1524</v>
      </c>
      <c r="C74" s="84" t="s">
        <v>1525</v>
      </c>
      <c r="D74" s="132">
        <f t="shared" ref="D74:D132" si="1">E74+F74+G74</f>
        <v>11597</v>
      </c>
      <c r="E74" s="132">
        <v>3272</v>
      </c>
      <c r="F74" s="133">
        <v>8325</v>
      </c>
      <c r="G74" s="132"/>
    </row>
    <row r="75" spans="1:7" s="50" customFormat="1" ht="31.5">
      <c r="A75" s="83">
        <v>87</v>
      </c>
      <c r="B75" s="48" t="s">
        <v>833</v>
      </c>
      <c r="C75" s="84" t="s">
        <v>1526</v>
      </c>
      <c r="D75" s="132">
        <f t="shared" si="1"/>
        <v>13290</v>
      </c>
      <c r="E75" s="132">
        <v>3262</v>
      </c>
      <c r="F75" s="224">
        <v>10028</v>
      </c>
      <c r="G75" s="132"/>
    </row>
    <row r="76" spans="1:7" s="50" customFormat="1" ht="31.5">
      <c r="A76" s="83">
        <v>88</v>
      </c>
      <c r="B76" s="48" t="s">
        <v>92</v>
      </c>
      <c r="C76" s="84" t="s">
        <v>1527</v>
      </c>
      <c r="D76" s="132">
        <f t="shared" si="1"/>
        <v>16928</v>
      </c>
      <c r="E76" s="132">
        <v>4030</v>
      </c>
      <c r="F76" s="224">
        <v>12898</v>
      </c>
      <c r="G76" s="132"/>
    </row>
    <row r="77" spans="1:7" s="50" customFormat="1" ht="15.75">
      <c r="A77" s="83">
        <v>89</v>
      </c>
      <c r="B77" s="48" t="s">
        <v>840</v>
      </c>
      <c r="C77" s="84" t="s">
        <v>1528</v>
      </c>
      <c r="D77" s="132">
        <f t="shared" si="1"/>
        <v>14987</v>
      </c>
      <c r="E77" s="132">
        <v>2708</v>
      </c>
      <c r="F77" s="133">
        <v>12279</v>
      </c>
      <c r="G77" s="132"/>
    </row>
    <row r="78" spans="1:7" s="50" customFormat="1" ht="15.75">
      <c r="A78" s="83">
        <v>90</v>
      </c>
      <c r="B78" s="48" t="s">
        <v>1529</v>
      </c>
      <c r="C78" s="84" t="s">
        <v>1530</v>
      </c>
      <c r="D78" s="132">
        <f t="shared" si="1"/>
        <v>6135</v>
      </c>
      <c r="E78" s="132">
        <v>4456</v>
      </c>
      <c r="F78" s="224">
        <v>1679</v>
      </c>
      <c r="G78" s="132"/>
    </row>
    <row r="79" spans="1:7" s="50" customFormat="1" ht="15.75">
      <c r="A79" s="83">
        <v>91</v>
      </c>
      <c r="B79" s="48" t="s">
        <v>1531</v>
      </c>
      <c r="C79" s="84" t="s">
        <v>1532</v>
      </c>
      <c r="D79" s="132">
        <f t="shared" si="1"/>
        <v>4297</v>
      </c>
      <c r="E79" s="132">
        <v>3234</v>
      </c>
      <c r="F79" s="224">
        <v>1063</v>
      </c>
      <c r="G79" s="132"/>
    </row>
    <row r="80" spans="1:7" s="50" customFormat="1" ht="15.75">
      <c r="A80" s="83">
        <v>92</v>
      </c>
      <c r="B80" s="48" t="s">
        <v>1533</v>
      </c>
      <c r="C80" s="84" t="s">
        <v>1534</v>
      </c>
      <c r="D80" s="132">
        <f t="shared" si="1"/>
        <v>2768</v>
      </c>
      <c r="E80" s="132">
        <v>2747</v>
      </c>
      <c r="F80" s="133">
        <v>21</v>
      </c>
      <c r="G80" s="132"/>
    </row>
    <row r="81" spans="1:7" s="50" customFormat="1" ht="15.75">
      <c r="A81" s="83">
        <v>93</v>
      </c>
      <c r="B81" s="48" t="s">
        <v>668</v>
      </c>
      <c r="C81" s="84" t="s">
        <v>1535</v>
      </c>
      <c r="D81" s="132">
        <f t="shared" si="1"/>
        <v>4758</v>
      </c>
      <c r="E81" s="132">
        <v>3823</v>
      </c>
      <c r="F81" s="133">
        <v>935</v>
      </c>
      <c r="G81" s="132"/>
    </row>
    <row r="82" spans="1:7" s="50" customFormat="1" ht="31.5">
      <c r="A82" s="83">
        <v>94</v>
      </c>
      <c r="B82" s="48" t="s">
        <v>1536</v>
      </c>
      <c r="C82" s="84" t="s">
        <v>1537</v>
      </c>
      <c r="D82" s="132">
        <f t="shared" si="1"/>
        <v>11625</v>
      </c>
      <c r="E82" s="132">
        <v>3810</v>
      </c>
      <c r="F82" s="133">
        <v>7815</v>
      </c>
      <c r="G82" s="132"/>
    </row>
    <row r="83" spans="1:7" s="50" customFormat="1" ht="15.75">
      <c r="A83" s="83">
        <v>95</v>
      </c>
      <c r="B83" s="48" t="s">
        <v>140</v>
      </c>
      <c r="C83" s="84" t="s">
        <v>1538</v>
      </c>
      <c r="D83" s="132">
        <f t="shared" si="1"/>
        <v>12617</v>
      </c>
      <c r="E83" s="132">
        <v>3782</v>
      </c>
      <c r="F83" s="133">
        <v>8835</v>
      </c>
      <c r="G83" s="132"/>
    </row>
    <row r="84" spans="1:7" s="50" customFormat="1" ht="31.5">
      <c r="A84" s="83">
        <v>96</v>
      </c>
      <c r="B84" s="48" t="s">
        <v>1539</v>
      </c>
      <c r="C84" s="84" t="s">
        <v>1540</v>
      </c>
      <c r="D84" s="132">
        <f t="shared" si="1"/>
        <v>11476</v>
      </c>
      <c r="E84" s="132">
        <v>3916</v>
      </c>
      <c r="F84" s="133">
        <v>7560</v>
      </c>
      <c r="G84" s="132"/>
    </row>
    <row r="85" spans="1:7" s="50" customFormat="1" ht="15.75">
      <c r="A85" s="83">
        <v>97</v>
      </c>
      <c r="B85" s="48" t="s">
        <v>851</v>
      </c>
      <c r="C85" s="84" t="s">
        <v>1541</v>
      </c>
      <c r="D85" s="132">
        <f t="shared" si="1"/>
        <v>6741</v>
      </c>
      <c r="E85" s="132">
        <v>3766</v>
      </c>
      <c r="F85" s="133">
        <v>2975</v>
      </c>
      <c r="G85" s="132"/>
    </row>
    <row r="86" spans="1:7" s="50" customFormat="1" ht="31.5">
      <c r="A86" s="83">
        <v>98</v>
      </c>
      <c r="B86" s="48" t="s">
        <v>847</v>
      </c>
      <c r="C86" s="84" t="s">
        <v>1542</v>
      </c>
      <c r="D86" s="132">
        <f t="shared" si="1"/>
        <v>9899</v>
      </c>
      <c r="E86" s="132">
        <v>3999</v>
      </c>
      <c r="F86" s="133">
        <v>5900</v>
      </c>
      <c r="G86" s="132"/>
    </row>
    <row r="87" spans="1:7" s="50" customFormat="1" ht="15.75">
      <c r="A87" s="83">
        <v>99</v>
      </c>
      <c r="B87" s="48" t="s">
        <v>1096</v>
      </c>
      <c r="C87" s="84" t="s">
        <v>1543</v>
      </c>
      <c r="D87" s="132">
        <f t="shared" si="1"/>
        <v>6229</v>
      </c>
      <c r="E87" s="132">
        <v>4529</v>
      </c>
      <c r="F87" s="133">
        <v>1700</v>
      </c>
      <c r="G87" s="132"/>
    </row>
    <row r="88" spans="1:7" s="50" customFormat="1" ht="15.75">
      <c r="A88" s="83">
        <v>52</v>
      </c>
      <c r="B88" s="49" t="s">
        <v>221</v>
      </c>
      <c r="C88" s="84" t="s">
        <v>1544</v>
      </c>
      <c r="D88" s="132">
        <f t="shared" si="1"/>
        <v>15538</v>
      </c>
      <c r="E88" s="132">
        <v>2468</v>
      </c>
      <c r="F88" s="133">
        <v>13070</v>
      </c>
      <c r="G88" s="132"/>
    </row>
    <row r="89" spans="1:7" s="50" customFormat="1" ht="31.5">
      <c r="A89" s="83">
        <v>53</v>
      </c>
      <c r="B89" s="49" t="s">
        <v>464</v>
      </c>
      <c r="C89" s="84" t="s">
        <v>1545</v>
      </c>
      <c r="D89" s="132">
        <f t="shared" si="1"/>
        <v>9292</v>
      </c>
      <c r="E89" s="132">
        <v>3222</v>
      </c>
      <c r="F89" s="133">
        <v>6070</v>
      </c>
      <c r="G89" s="132"/>
    </row>
    <row r="90" spans="1:7" s="50" customFormat="1" ht="47.25">
      <c r="A90" s="83">
        <v>54</v>
      </c>
      <c r="B90" s="49" t="s">
        <v>366</v>
      </c>
      <c r="C90" s="84" t="s">
        <v>1546</v>
      </c>
      <c r="D90" s="132">
        <f t="shared" si="1"/>
        <v>8140</v>
      </c>
      <c r="E90" s="132">
        <v>4145</v>
      </c>
      <c r="F90" s="133">
        <v>3995</v>
      </c>
      <c r="G90" s="132"/>
    </row>
    <row r="91" spans="1:7" s="50" customFormat="1" ht="15.75">
      <c r="A91" s="83">
        <v>55</v>
      </c>
      <c r="B91" s="49" t="s">
        <v>662</v>
      </c>
      <c r="C91" s="84" t="s">
        <v>1547</v>
      </c>
      <c r="D91" s="132">
        <f t="shared" si="1"/>
        <v>11568</v>
      </c>
      <c r="E91" s="132">
        <v>2288</v>
      </c>
      <c r="F91" s="133">
        <v>9280</v>
      </c>
      <c r="G91" s="132"/>
    </row>
    <row r="92" spans="1:7" s="50" customFormat="1" ht="15.75">
      <c r="A92" s="83">
        <v>56</v>
      </c>
      <c r="B92" s="49" t="s">
        <v>1548</v>
      </c>
      <c r="C92" s="84" t="s">
        <v>1549</v>
      </c>
      <c r="D92" s="132">
        <f t="shared" si="1"/>
        <v>6859</v>
      </c>
      <c r="E92" s="132">
        <v>2779</v>
      </c>
      <c r="F92" s="133">
        <v>4080</v>
      </c>
      <c r="G92" s="132"/>
    </row>
    <row r="93" spans="1:7" s="50" customFormat="1" ht="15.75">
      <c r="A93" s="83">
        <v>57</v>
      </c>
      <c r="B93" s="49" t="s">
        <v>679</v>
      </c>
      <c r="C93" s="84" t="s">
        <v>1550</v>
      </c>
      <c r="D93" s="132">
        <f t="shared" si="1"/>
        <v>7727</v>
      </c>
      <c r="E93" s="132">
        <v>3859</v>
      </c>
      <c r="F93" s="133">
        <v>3868</v>
      </c>
      <c r="G93" s="132"/>
    </row>
    <row r="94" spans="1:7" s="50" customFormat="1" ht="15.75">
      <c r="A94" s="83">
        <v>58</v>
      </c>
      <c r="B94" s="49" t="s">
        <v>251</v>
      </c>
      <c r="C94" s="84" t="s">
        <v>1551</v>
      </c>
      <c r="D94" s="132">
        <f t="shared" si="1"/>
        <v>9162</v>
      </c>
      <c r="E94" s="132">
        <v>4112</v>
      </c>
      <c r="F94" s="133">
        <v>5050</v>
      </c>
      <c r="G94" s="132"/>
    </row>
    <row r="95" spans="1:7" s="50" customFormat="1" ht="31.5">
      <c r="A95" s="83">
        <v>59</v>
      </c>
      <c r="B95" s="49" t="s">
        <v>239</v>
      </c>
      <c r="C95" s="84" t="s">
        <v>1552</v>
      </c>
      <c r="D95" s="132">
        <f t="shared" si="1"/>
        <v>16455</v>
      </c>
      <c r="E95" s="132">
        <v>3433</v>
      </c>
      <c r="F95" s="133">
        <v>13022</v>
      </c>
      <c r="G95" s="132"/>
    </row>
    <row r="96" spans="1:7" s="50" customFormat="1" ht="15.75">
      <c r="A96" s="83">
        <v>60</v>
      </c>
      <c r="B96" s="49" t="s">
        <v>202</v>
      </c>
      <c r="C96" s="84" t="s">
        <v>1553</v>
      </c>
      <c r="D96" s="132">
        <f t="shared" si="1"/>
        <v>12925</v>
      </c>
      <c r="E96" s="132">
        <v>3835</v>
      </c>
      <c r="F96" s="133">
        <v>9090</v>
      </c>
      <c r="G96" s="132"/>
    </row>
    <row r="97" spans="1:7" s="50" customFormat="1" ht="15.75">
      <c r="A97" s="83">
        <v>61</v>
      </c>
      <c r="B97" s="49" t="s">
        <v>676</v>
      </c>
      <c r="C97" s="84" t="s">
        <v>1554</v>
      </c>
      <c r="D97" s="132">
        <f t="shared" si="1"/>
        <v>4645</v>
      </c>
      <c r="E97" s="132">
        <v>2520</v>
      </c>
      <c r="F97" s="133">
        <v>2125</v>
      </c>
      <c r="G97" s="132"/>
    </row>
    <row r="98" spans="1:7" s="50" customFormat="1" ht="15.75">
      <c r="A98" s="83">
        <v>62</v>
      </c>
      <c r="B98" s="49" t="s">
        <v>395</v>
      </c>
      <c r="C98" s="84" t="s">
        <v>1555</v>
      </c>
      <c r="D98" s="132">
        <f t="shared" si="1"/>
        <v>10548</v>
      </c>
      <c r="E98" s="132">
        <v>5498</v>
      </c>
      <c r="F98" s="133">
        <v>5050</v>
      </c>
      <c r="G98" s="132"/>
    </row>
    <row r="99" spans="1:7" s="50" customFormat="1" ht="31.5">
      <c r="A99" s="83">
        <v>63</v>
      </c>
      <c r="B99" s="49" t="s">
        <v>236</v>
      </c>
      <c r="C99" s="84" t="s">
        <v>1556</v>
      </c>
      <c r="D99" s="132">
        <f t="shared" si="1"/>
        <v>10449</v>
      </c>
      <c r="E99" s="132">
        <v>3699</v>
      </c>
      <c r="F99" s="133">
        <v>6750</v>
      </c>
      <c r="G99" s="132"/>
    </row>
    <row r="100" spans="1:7" s="50" customFormat="1" ht="15.75">
      <c r="A100" s="83">
        <v>64</v>
      </c>
      <c r="B100" s="49" t="s">
        <v>1557</v>
      </c>
      <c r="C100" s="84" t="s">
        <v>1558</v>
      </c>
      <c r="D100" s="132">
        <f t="shared" si="1"/>
        <v>3886</v>
      </c>
      <c r="E100" s="132">
        <v>2619</v>
      </c>
      <c r="F100" s="133">
        <v>1267</v>
      </c>
      <c r="G100" s="132"/>
    </row>
    <row r="101" spans="1:7" s="50" customFormat="1" ht="15.75">
      <c r="A101" s="83">
        <v>65</v>
      </c>
      <c r="B101" s="49" t="s">
        <v>436</v>
      </c>
      <c r="C101" s="84" t="s">
        <v>1559</v>
      </c>
      <c r="D101" s="132">
        <f t="shared" si="1"/>
        <v>9290</v>
      </c>
      <c r="E101" s="132">
        <v>2540</v>
      </c>
      <c r="F101" s="133">
        <v>6750</v>
      </c>
      <c r="G101" s="132"/>
    </row>
    <row r="102" spans="1:7" s="50" customFormat="1" ht="31.5">
      <c r="A102" s="83">
        <v>66</v>
      </c>
      <c r="B102" s="49" t="s">
        <v>659</v>
      </c>
      <c r="C102" s="84" t="s">
        <v>1560</v>
      </c>
      <c r="D102" s="132">
        <f t="shared" si="1"/>
        <v>4204</v>
      </c>
      <c r="E102" s="132">
        <v>3779</v>
      </c>
      <c r="F102" s="133">
        <v>425</v>
      </c>
      <c r="G102" s="132"/>
    </row>
    <row r="103" spans="1:7" s="50" customFormat="1" ht="15.75">
      <c r="A103" s="83">
        <v>67</v>
      </c>
      <c r="B103" s="49" t="s">
        <v>661</v>
      </c>
      <c r="C103" s="84" t="s">
        <v>1561</v>
      </c>
      <c r="D103" s="132">
        <f t="shared" si="1"/>
        <v>7189</v>
      </c>
      <c r="E103" s="132">
        <v>2684</v>
      </c>
      <c r="F103" s="133">
        <v>4505</v>
      </c>
      <c r="G103" s="132"/>
    </row>
    <row r="104" spans="1:7" s="50" customFormat="1" ht="15.75">
      <c r="A104" s="83">
        <v>68</v>
      </c>
      <c r="B104" s="49" t="s">
        <v>356</v>
      </c>
      <c r="C104" s="84" t="s">
        <v>1562</v>
      </c>
      <c r="D104" s="132">
        <f t="shared" si="1"/>
        <v>7063</v>
      </c>
      <c r="E104" s="132">
        <v>3365</v>
      </c>
      <c r="F104" s="133">
        <v>3698</v>
      </c>
      <c r="G104" s="132"/>
    </row>
    <row r="105" spans="1:7" s="50" customFormat="1" ht="15.75">
      <c r="A105" s="83">
        <v>69</v>
      </c>
      <c r="B105" s="49" t="s">
        <v>675</v>
      </c>
      <c r="C105" s="84" t="s">
        <v>1563</v>
      </c>
      <c r="D105" s="132">
        <f t="shared" si="1"/>
        <v>5092</v>
      </c>
      <c r="E105" s="132">
        <v>3307</v>
      </c>
      <c r="F105" s="133">
        <v>1785</v>
      </c>
      <c r="G105" s="132"/>
    </row>
    <row r="106" spans="1:7" s="50" customFormat="1" ht="31.5">
      <c r="A106" s="83">
        <v>70</v>
      </c>
      <c r="B106" s="49" t="s">
        <v>674</v>
      </c>
      <c r="C106" s="84" t="s">
        <v>1564</v>
      </c>
      <c r="D106" s="132">
        <f t="shared" si="1"/>
        <v>5736</v>
      </c>
      <c r="E106" s="132">
        <v>4163</v>
      </c>
      <c r="F106" s="133">
        <v>1573</v>
      </c>
      <c r="G106" s="132"/>
    </row>
    <row r="107" spans="1:7" s="50" customFormat="1" ht="31.5">
      <c r="A107" s="83">
        <v>71</v>
      </c>
      <c r="B107" s="48" t="s">
        <v>318</v>
      </c>
      <c r="C107" s="84" t="s">
        <v>1565</v>
      </c>
      <c r="D107" s="132">
        <f t="shared" si="1"/>
        <v>8107</v>
      </c>
      <c r="E107" s="132">
        <v>2717</v>
      </c>
      <c r="F107" s="133">
        <v>5390</v>
      </c>
      <c r="G107" s="132"/>
    </row>
    <row r="108" spans="1:7" s="50" customFormat="1" ht="31.5">
      <c r="A108" s="83">
        <v>100</v>
      </c>
      <c r="B108" s="85" t="s">
        <v>265</v>
      </c>
      <c r="C108" s="84" t="s">
        <v>1566</v>
      </c>
      <c r="D108" s="132">
        <f t="shared" si="1"/>
        <v>11744</v>
      </c>
      <c r="E108" s="132">
        <v>4222</v>
      </c>
      <c r="F108" s="133">
        <v>7522</v>
      </c>
      <c r="G108" s="132"/>
    </row>
    <row r="109" spans="1:7" s="50" customFormat="1" ht="15.75">
      <c r="A109" s="83">
        <v>101</v>
      </c>
      <c r="B109" s="85" t="s">
        <v>1567</v>
      </c>
      <c r="C109" s="84" t="s">
        <v>1568</v>
      </c>
      <c r="D109" s="132">
        <f t="shared" si="1"/>
        <v>3911</v>
      </c>
      <c r="E109" s="132">
        <v>3783</v>
      </c>
      <c r="F109" s="133">
        <v>128</v>
      </c>
      <c r="G109" s="132"/>
    </row>
    <row r="110" spans="1:7" s="50" customFormat="1" ht="31.5">
      <c r="A110" s="83">
        <v>102</v>
      </c>
      <c r="B110" s="85" t="s">
        <v>1569</v>
      </c>
      <c r="C110" s="84" t="s">
        <v>1570</v>
      </c>
      <c r="D110" s="132">
        <f t="shared" si="1"/>
        <v>4604</v>
      </c>
      <c r="E110" s="132">
        <v>2521</v>
      </c>
      <c r="F110" s="133">
        <v>2083</v>
      </c>
      <c r="G110" s="132"/>
    </row>
    <row r="111" spans="1:7" s="50" customFormat="1" ht="15.75">
      <c r="A111" s="83">
        <v>103</v>
      </c>
      <c r="B111" s="85" t="s">
        <v>1571</v>
      </c>
      <c r="C111" s="84" t="s">
        <v>1572</v>
      </c>
      <c r="D111" s="132">
        <f t="shared" si="1"/>
        <v>3516</v>
      </c>
      <c r="E111" s="132">
        <v>3048</v>
      </c>
      <c r="F111" s="133">
        <v>468</v>
      </c>
      <c r="G111" s="132"/>
    </row>
    <row r="112" spans="1:7" s="50" customFormat="1" ht="15.75">
      <c r="A112" s="83">
        <v>104</v>
      </c>
      <c r="B112" s="85" t="s">
        <v>1573</v>
      </c>
      <c r="C112" s="84" t="s">
        <v>1574</v>
      </c>
      <c r="D112" s="132">
        <f t="shared" si="1"/>
        <v>4204</v>
      </c>
      <c r="E112" s="132">
        <v>4200</v>
      </c>
      <c r="F112" s="133">
        <v>4</v>
      </c>
      <c r="G112" s="132"/>
    </row>
    <row r="113" spans="1:7" s="50" customFormat="1" ht="15.75">
      <c r="A113" s="83">
        <v>105</v>
      </c>
      <c r="B113" s="85" t="s">
        <v>658</v>
      </c>
      <c r="C113" s="84" t="s">
        <v>1575</v>
      </c>
      <c r="D113" s="132">
        <f t="shared" si="1"/>
        <v>3229</v>
      </c>
      <c r="E113" s="132">
        <v>2761</v>
      </c>
      <c r="F113" s="133">
        <v>468</v>
      </c>
      <c r="G113" s="132"/>
    </row>
    <row r="114" spans="1:7" s="50" customFormat="1" ht="15.75">
      <c r="A114" s="83">
        <v>106</v>
      </c>
      <c r="B114" s="85" t="s">
        <v>500</v>
      </c>
      <c r="C114" s="84" t="s">
        <v>1576</v>
      </c>
      <c r="D114" s="132">
        <f t="shared" si="1"/>
        <v>4401</v>
      </c>
      <c r="E114" s="132">
        <v>2578</v>
      </c>
      <c r="F114" s="133">
        <v>1823</v>
      </c>
      <c r="G114" s="132"/>
    </row>
    <row r="115" spans="1:7" s="50" customFormat="1" ht="31.5">
      <c r="A115" s="83">
        <v>107</v>
      </c>
      <c r="B115" s="85" t="s">
        <v>672</v>
      </c>
      <c r="C115" s="84" t="s">
        <v>1577</v>
      </c>
      <c r="D115" s="132">
        <f t="shared" si="1"/>
        <v>6921</v>
      </c>
      <c r="E115" s="132">
        <v>2756</v>
      </c>
      <c r="F115" s="133">
        <v>4165</v>
      </c>
      <c r="G115" s="132"/>
    </row>
    <row r="116" spans="1:7" s="50" customFormat="1" ht="15.75">
      <c r="A116" s="83">
        <v>108</v>
      </c>
      <c r="B116" s="85" t="s">
        <v>399</v>
      </c>
      <c r="C116" s="84" t="s">
        <v>1578</v>
      </c>
      <c r="D116" s="132">
        <f t="shared" si="1"/>
        <v>2666</v>
      </c>
      <c r="E116" s="132">
        <v>2666</v>
      </c>
      <c r="F116" s="133">
        <v>0</v>
      </c>
      <c r="G116" s="132"/>
    </row>
    <row r="117" spans="1:7" s="50" customFormat="1" ht="15.75">
      <c r="A117" s="83">
        <v>109</v>
      </c>
      <c r="B117" s="85" t="s">
        <v>660</v>
      </c>
      <c r="C117" s="84" t="s">
        <v>1579</v>
      </c>
      <c r="D117" s="132">
        <f t="shared" si="1"/>
        <v>2862</v>
      </c>
      <c r="E117" s="132">
        <v>2862</v>
      </c>
      <c r="F117" s="133">
        <v>0</v>
      </c>
      <c r="G117" s="132"/>
    </row>
    <row r="118" spans="1:7" s="50" customFormat="1" ht="15.75">
      <c r="A118" s="83">
        <v>110</v>
      </c>
      <c r="B118" s="85" t="s">
        <v>670</v>
      </c>
      <c r="C118" s="84" t="s">
        <v>1580</v>
      </c>
      <c r="D118" s="132">
        <f t="shared" si="1"/>
        <v>12204</v>
      </c>
      <c r="E118" s="132">
        <v>2604</v>
      </c>
      <c r="F118" s="224">
        <v>9600</v>
      </c>
      <c r="G118" s="132"/>
    </row>
    <row r="119" spans="1:7" s="50" customFormat="1" ht="15.75">
      <c r="A119" s="83">
        <v>111</v>
      </c>
      <c r="B119" s="85" t="s">
        <v>470</v>
      </c>
      <c r="C119" s="84" t="s">
        <v>1581</v>
      </c>
      <c r="D119" s="132">
        <f t="shared" si="1"/>
        <v>15839</v>
      </c>
      <c r="E119" s="132">
        <v>4239</v>
      </c>
      <c r="F119" s="133">
        <v>11600</v>
      </c>
      <c r="G119" s="132"/>
    </row>
    <row r="120" spans="1:7" s="50" customFormat="1" ht="15.75">
      <c r="A120" s="83">
        <v>112</v>
      </c>
      <c r="B120" s="85" t="s">
        <v>217</v>
      </c>
      <c r="C120" s="84" t="s">
        <v>1582</v>
      </c>
      <c r="D120" s="132">
        <f t="shared" si="1"/>
        <v>13228</v>
      </c>
      <c r="E120" s="132">
        <v>3679</v>
      </c>
      <c r="F120" s="133">
        <v>9549</v>
      </c>
      <c r="G120" s="132"/>
    </row>
    <row r="121" spans="1:7" s="50" customFormat="1" ht="31.5">
      <c r="A121" s="83">
        <v>113</v>
      </c>
      <c r="B121" s="85" t="s">
        <v>206</v>
      </c>
      <c r="C121" s="84" t="s">
        <v>1583</v>
      </c>
      <c r="D121" s="132">
        <f t="shared" si="1"/>
        <v>16203</v>
      </c>
      <c r="E121" s="132">
        <v>3923</v>
      </c>
      <c r="F121" s="133">
        <v>12280</v>
      </c>
      <c r="G121" s="132"/>
    </row>
    <row r="122" spans="1:7" s="50" customFormat="1" ht="15.75">
      <c r="A122" s="83">
        <v>114</v>
      </c>
      <c r="B122" s="85" t="s">
        <v>211</v>
      </c>
      <c r="C122" s="84" t="s">
        <v>1584</v>
      </c>
      <c r="D122" s="132">
        <f t="shared" si="1"/>
        <v>19565</v>
      </c>
      <c r="E122" s="132">
        <v>7795</v>
      </c>
      <c r="F122" s="133">
        <v>11770</v>
      </c>
      <c r="G122" s="132"/>
    </row>
    <row r="123" spans="1:7" s="50" customFormat="1" ht="31.5">
      <c r="A123" s="83">
        <v>115</v>
      </c>
      <c r="B123" s="85" t="s">
        <v>309</v>
      </c>
      <c r="C123" s="84" t="s">
        <v>1585</v>
      </c>
      <c r="D123" s="132">
        <f t="shared" si="1"/>
        <v>5908</v>
      </c>
      <c r="E123" s="132">
        <v>2933</v>
      </c>
      <c r="F123" s="133">
        <v>2975</v>
      </c>
      <c r="G123" s="132"/>
    </row>
    <row r="124" spans="1:7" s="50" customFormat="1" ht="31.5">
      <c r="A124" s="83">
        <v>116</v>
      </c>
      <c r="B124" s="85" t="s">
        <v>1586</v>
      </c>
      <c r="C124" s="84" t="s">
        <v>1587</v>
      </c>
      <c r="D124" s="132">
        <f t="shared" si="1"/>
        <v>8290</v>
      </c>
      <c r="E124" s="132">
        <v>3615</v>
      </c>
      <c r="F124" s="224">
        <v>4675</v>
      </c>
      <c r="G124" s="132"/>
    </row>
    <row r="125" spans="1:7" s="50" customFormat="1" ht="15.75">
      <c r="A125" s="83">
        <v>117</v>
      </c>
      <c r="B125" s="85" t="s">
        <v>304</v>
      </c>
      <c r="C125" s="84" t="s">
        <v>1588</v>
      </c>
      <c r="D125" s="132">
        <f t="shared" si="1"/>
        <v>10989</v>
      </c>
      <c r="E125" s="132">
        <v>2893</v>
      </c>
      <c r="F125" s="224">
        <v>8096</v>
      </c>
      <c r="G125" s="132"/>
    </row>
    <row r="126" spans="1:7" s="50" customFormat="1" ht="15.75">
      <c r="A126" s="83">
        <v>118</v>
      </c>
      <c r="B126" s="85" t="s">
        <v>1589</v>
      </c>
      <c r="C126" s="84" t="s">
        <v>1590</v>
      </c>
      <c r="D126" s="132">
        <f t="shared" si="1"/>
        <v>5140</v>
      </c>
      <c r="E126" s="132">
        <v>2590</v>
      </c>
      <c r="F126" s="133">
        <v>2550</v>
      </c>
      <c r="G126" s="132"/>
    </row>
    <row r="127" spans="1:7" s="50" customFormat="1" ht="15.75">
      <c r="A127" s="83">
        <v>119</v>
      </c>
      <c r="B127" s="85" t="s">
        <v>1591</v>
      </c>
      <c r="C127" s="84" t="s">
        <v>1592</v>
      </c>
      <c r="D127" s="132">
        <f t="shared" si="1"/>
        <v>7487</v>
      </c>
      <c r="E127" s="132">
        <v>2437</v>
      </c>
      <c r="F127" s="133">
        <v>5050</v>
      </c>
      <c r="G127" s="132"/>
    </row>
    <row r="128" spans="1:7" s="50" customFormat="1" ht="15.75">
      <c r="A128" s="83">
        <v>120</v>
      </c>
      <c r="B128" s="85" t="s">
        <v>459</v>
      </c>
      <c r="C128" s="84" t="s">
        <v>1593</v>
      </c>
      <c r="D128" s="132">
        <f t="shared" si="1"/>
        <v>8067</v>
      </c>
      <c r="E128" s="132">
        <v>3017</v>
      </c>
      <c r="F128" s="133">
        <v>5050</v>
      </c>
      <c r="G128" s="132"/>
    </row>
    <row r="129" spans="1:7" s="50" customFormat="1" ht="31.5">
      <c r="A129" s="83">
        <v>121</v>
      </c>
      <c r="B129" s="85" t="s">
        <v>1594</v>
      </c>
      <c r="C129" s="84" t="s">
        <v>1595</v>
      </c>
      <c r="D129" s="132">
        <f t="shared" si="1"/>
        <v>17285</v>
      </c>
      <c r="E129" s="132">
        <v>4300</v>
      </c>
      <c r="F129" s="133">
        <v>12985</v>
      </c>
      <c r="G129" s="132"/>
    </row>
    <row r="130" spans="1:7" s="50" customFormat="1" ht="19.5" customHeight="1">
      <c r="A130" s="83">
        <v>122</v>
      </c>
      <c r="B130" s="85" t="s">
        <v>451</v>
      </c>
      <c r="C130" s="84" t="s">
        <v>1596</v>
      </c>
      <c r="D130" s="132">
        <f t="shared" si="1"/>
        <v>3979</v>
      </c>
      <c r="E130" s="132">
        <v>2721</v>
      </c>
      <c r="F130" s="133">
        <v>1258</v>
      </c>
      <c r="G130" s="132"/>
    </row>
    <row r="131" spans="1:7" s="50" customFormat="1" ht="29.25" customHeight="1">
      <c r="A131" s="83">
        <v>123</v>
      </c>
      <c r="B131" s="85" t="s">
        <v>1597</v>
      </c>
      <c r="C131" s="84" t="s">
        <v>1598</v>
      </c>
      <c r="D131" s="132">
        <f t="shared" si="1"/>
        <v>5221</v>
      </c>
      <c r="E131" s="132">
        <v>3393</v>
      </c>
      <c r="F131" s="133">
        <v>1828</v>
      </c>
      <c r="G131" s="132"/>
    </row>
    <row r="132" spans="1:7" s="50" customFormat="1" ht="24.75" customHeight="1">
      <c r="A132" s="86">
        <v>124</v>
      </c>
      <c r="B132" s="87" t="s">
        <v>1599</v>
      </c>
      <c r="C132" s="88" t="s">
        <v>1600</v>
      </c>
      <c r="D132" s="134">
        <f t="shared" si="1"/>
        <v>4208</v>
      </c>
      <c r="E132" s="134">
        <v>3481</v>
      </c>
      <c r="F132" s="225">
        <v>727</v>
      </c>
      <c r="G132" s="134"/>
    </row>
    <row r="134" spans="1:7">
      <c r="F134" s="78"/>
    </row>
    <row r="135" spans="1:7">
      <c r="F135" s="78"/>
    </row>
    <row r="136" spans="1:7">
      <c r="F136" s="78"/>
    </row>
    <row r="137" spans="1:7">
      <c r="F137" s="78"/>
    </row>
    <row r="138" spans="1:7">
      <c r="F138" s="78"/>
    </row>
    <row r="139" spans="1:7">
      <c r="F139" s="78"/>
    </row>
    <row r="140" spans="1:7">
      <c r="F140" s="78"/>
    </row>
    <row r="141" spans="1:7">
      <c r="F141" s="78"/>
    </row>
    <row r="142" spans="1:7">
      <c r="F142" s="78"/>
    </row>
    <row r="143" spans="1:7">
      <c r="F143" s="78"/>
    </row>
    <row r="144" spans="1:7">
      <c r="F144" s="78"/>
    </row>
    <row r="145" spans="6:6">
      <c r="F145" s="78"/>
    </row>
    <row r="146" spans="6:6">
      <c r="F146" s="78"/>
    </row>
    <row r="147" spans="6:6">
      <c r="F147" s="78"/>
    </row>
    <row r="148" spans="6:6">
      <c r="F148" s="78"/>
    </row>
    <row r="149" spans="6:6">
      <c r="F149" s="78"/>
    </row>
    <row r="150" spans="6:6">
      <c r="F150" s="78"/>
    </row>
    <row r="151" spans="6:6">
      <c r="F151" s="78"/>
    </row>
    <row r="152" spans="6:6">
      <c r="F152" s="78"/>
    </row>
    <row r="153" spans="6:6">
      <c r="F153" s="78"/>
    </row>
    <row r="154" spans="6:6">
      <c r="F154" s="78"/>
    </row>
    <row r="155" spans="6:6">
      <c r="F155" s="78"/>
    </row>
    <row r="156" spans="6:6">
      <c r="F156" s="78"/>
    </row>
    <row r="157" spans="6:6">
      <c r="F157" s="78"/>
    </row>
    <row r="158" spans="6:6">
      <c r="F158" s="78"/>
    </row>
    <row r="159" spans="6:6">
      <c r="F159" s="78"/>
    </row>
    <row r="160" spans="6:6">
      <c r="F160" s="78"/>
    </row>
    <row r="161" spans="6:6">
      <c r="F161" s="78"/>
    </row>
    <row r="162" spans="6:6">
      <c r="F162" s="78"/>
    </row>
    <row r="163" spans="6:6">
      <c r="F163" s="78"/>
    </row>
    <row r="164" spans="6:6">
      <c r="F164" s="78"/>
    </row>
    <row r="165" spans="6:6">
      <c r="F165" s="78"/>
    </row>
    <row r="166" spans="6:6">
      <c r="F166" s="78"/>
    </row>
    <row r="167" spans="6:6">
      <c r="F167" s="78"/>
    </row>
    <row r="168" spans="6:6">
      <c r="F168" s="78"/>
    </row>
    <row r="169" spans="6:6">
      <c r="F169" s="78"/>
    </row>
    <row r="170" spans="6:6">
      <c r="F170" s="78"/>
    </row>
    <row r="171" spans="6:6">
      <c r="F171" s="78"/>
    </row>
    <row r="172" spans="6:6">
      <c r="F172" s="78"/>
    </row>
    <row r="173" spans="6:6">
      <c r="F173" s="78"/>
    </row>
    <row r="174" spans="6:6">
      <c r="F174" s="78"/>
    </row>
    <row r="175" spans="6:6">
      <c r="F175" s="78"/>
    </row>
    <row r="176" spans="6:6">
      <c r="F176" s="78"/>
    </row>
  </sheetData>
  <autoFilter ref="A6:G132" xr:uid="{00000000-0009-0000-0000-000005000000}"/>
  <mergeCells count="8">
    <mergeCell ref="A1:G1"/>
    <mergeCell ref="A2:G2"/>
    <mergeCell ref="A3:G3"/>
    <mergeCell ref="F4:G4"/>
    <mergeCell ref="A5:A6"/>
    <mergeCell ref="B5:B6"/>
    <mergeCell ref="C5:C6"/>
    <mergeCell ref="D5:G5"/>
  </mergeCells>
  <printOptions horizontalCentered="1"/>
  <pageMargins left="0.19685039370078741" right="0.11811023622047245" top="0.39370078740157483" bottom="0.19685039370078741" header="0.31496062992125984" footer="0.31496062992125984"/>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13</vt:i4>
      </vt:variant>
    </vt:vector>
  </HeadingPairs>
  <TitlesOfParts>
    <vt:vector size="20" baseType="lpstr">
      <vt:lpstr>01</vt:lpstr>
      <vt:lpstr>PL 01</vt:lpstr>
      <vt:lpstr>PL 02</vt:lpstr>
      <vt:lpstr>PL 03</vt:lpstr>
      <vt:lpstr>PL 04</vt:lpstr>
      <vt:lpstr>PL 05</vt:lpstr>
      <vt:lpstr>PL 06</vt:lpstr>
      <vt:lpstr>'PL 06'!_Hlk215574854</vt:lpstr>
      <vt:lpstr>'01'!Print_Area</vt:lpstr>
      <vt:lpstr>'PL 01'!Print_Area</vt:lpstr>
      <vt:lpstr>'PL 02'!Print_Area</vt:lpstr>
      <vt:lpstr>'PL 03'!Print_Area</vt:lpstr>
      <vt:lpstr>'PL 04'!Print_Area</vt:lpstr>
      <vt:lpstr>'PL 05'!Print_Area</vt:lpstr>
      <vt:lpstr>'PL 01'!Print_Titles</vt:lpstr>
      <vt:lpstr>'PL 02'!Print_Titles</vt:lpstr>
      <vt:lpstr>'PL 03'!Print_Titles</vt:lpstr>
      <vt:lpstr>'PL 04'!Print_Titles</vt:lpstr>
      <vt:lpstr>'PL 05'!Print_Titles</vt:lpstr>
      <vt:lpstr>'PL 06'!Print_Titles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SON LE HONG</dc:creator>
  <cp:lastModifiedBy>Admin</cp:lastModifiedBy>
  <cp:lastPrinted>2025-12-26T03:13:43Z</cp:lastPrinted>
  <dcterms:created xsi:type="dcterms:W3CDTF">2025-11-21T07:28:29Z</dcterms:created>
  <dcterms:modified xsi:type="dcterms:W3CDTF">2025-12-26T06:24:06Z</dcterms:modified>
</cp:coreProperties>
</file>